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defaultThemeVersion="124226"/>
  <mc:AlternateContent xmlns:mc="http://schemas.openxmlformats.org/markup-compatibility/2006">
    <mc:Choice Requires="x15">
      <x15ac:absPath xmlns:x15ac="http://schemas.microsoft.com/office/spreadsheetml/2010/11/ac" url="C:\Users\cdoll\Documents\"/>
    </mc:Choice>
  </mc:AlternateContent>
  <xr:revisionPtr revIDLastSave="0" documentId="8_{9E712AAD-0669-4551-B31B-877438DB16D3}" xr6:coauthVersionLast="36" xr6:coauthVersionMax="36" xr10:uidLastSave="{00000000-0000-0000-0000-000000000000}"/>
  <bookViews>
    <workbookView xWindow="0" yWindow="0" windowWidth="28800" windowHeight="12225" tabRatio="424" xr2:uid="{00000000-000D-0000-FFFF-FFFF00000000}"/>
  </bookViews>
  <sheets>
    <sheet name="Fund Balance Projection" sheetId="1" r:id="rId1"/>
    <sheet name="Summary" sheetId="2" r:id="rId2"/>
  </sheets>
  <definedNames>
    <definedName name="_xlnm.Print_Area" localSheetId="0">'Fund Balance Projection'!$A$1:$P$79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D67" i="1" l="1"/>
  <c r="D65" i="1"/>
  <c r="D66" i="1"/>
  <c r="D64" i="1"/>
  <c r="G67" i="1"/>
  <c r="F67" i="1"/>
  <c r="E67" i="1"/>
  <c r="H29" i="1" l="1"/>
  <c r="H30" i="1"/>
  <c r="C67" i="1"/>
  <c r="I30" i="1" l="1"/>
  <c r="J30" i="1" s="1"/>
  <c r="I29" i="1"/>
  <c r="K30" i="1" l="1"/>
  <c r="L30" i="1"/>
  <c r="J29" i="1"/>
  <c r="H45" i="1"/>
  <c r="I45" i="1" s="1"/>
  <c r="H46" i="1"/>
  <c r="I46" i="1" s="1"/>
  <c r="J46" i="1" s="1"/>
  <c r="K29" i="1" l="1"/>
  <c r="L29" i="1" s="1"/>
  <c r="M29" i="1" s="1"/>
  <c r="N29" i="1" s="1"/>
  <c r="M30" i="1"/>
  <c r="N30" i="1" s="1"/>
  <c r="J45" i="1"/>
  <c r="K45" i="1" s="1"/>
  <c r="H32" i="1"/>
  <c r="I32" i="1" s="1"/>
  <c r="K46" i="1"/>
  <c r="L46" i="1" s="1"/>
  <c r="M46" i="1" s="1"/>
  <c r="N46" i="1" s="1"/>
  <c r="O29" i="1" l="1"/>
  <c r="P29" i="1" s="1"/>
  <c r="Q29" i="1" s="1"/>
  <c r="O30" i="1"/>
  <c r="P30" i="1" s="1"/>
  <c r="Q30" i="1" s="1"/>
  <c r="L45" i="1"/>
  <c r="M45" i="1" s="1"/>
  <c r="N45" i="1" s="1"/>
  <c r="O45" i="1" s="1"/>
  <c r="J32" i="1"/>
  <c r="O46" i="1"/>
  <c r="P46" i="1" s="1"/>
  <c r="Q46" i="1" s="1"/>
  <c r="P45" i="1" l="1"/>
  <c r="Q45" i="1" s="1"/>
  <c r="K32" i="1"/>
  <c r="L32" i="1" s="1"/>
  <c r="M32" i="1" s="1"/>
  <c r="N32" i="1" s="1"/>
  <c r="O32" i="1" s="1"/>
  <c r="P32" i="1" l="1"/>
  <c r="Q32" i="1" s="1"/>
  <c r="H33" i="1"/>
  <c r="I33" i="1" s="1"/>
  <c r="H36" i="1"/>
  <c r="D4" i="2"/>
  <c r="E4" i="2"/>
  <c r="F4" i="2"/>
  <c r="G4" i="2"/>
  <c r="H4" i="2"/>
  <c r="I4" i="2"/>
  <c r="J4" i="2"/>
  <c r="K4" i="2"/>
  <c r="L4" i="2"/>
  <c r="M4" i="2"/>
  <c r="N4" i="2"/>
  <c r="O4" i="2"/>
  <c r="P4" i="2"/>
  <c r="C4" i="2"/>
  <c r="J33" i="1" l="1"/>
  <c r="K33" i="1" s="1"/>
  <c r="L33" i="1" s="1"/>
  <c r="H35" i="1"/>
  <c r="I36" i="1"/>
  <c r="E50" i="1"/>
  <c r="O10" i="1"/>
  <c r="O9" i="1"/>
  <c r="M33" i="1" l="1"/>
  <c r="N33" i="1" s="1"/>
  <c r="O33" i="1" s="1"/>
  <c r="P33" i="1" s="1"/>
  <c r="Q33" i="1" s="1"/>
  <c r="H34" i="1"/>
  <c r="I35" i="1"/>
  <c r="J36" i="1"/>
  <c r="K36" i="1" s="1"/>
  <c r="O31" i="1"/>
  <c r="N31" i="1"/>
  <c r="M31" i="1"/>
  <c r="L31" i="1"/>
  <c r="K31" i="1"/>
  <c r="J31" i="1"/>
  <c r="I31" i="1"/>
  <c r="H31" i="1"/>
  <c r="O24" i="1"/>
  <c r="N24" i="1"/>
  <c r="M24" i="1"/>
  <c r="L24" i="1"/>
  <c r="K24" i="1"/>
  <c r="J24" i="1"/>
  <c r="I24" i="1"/>
  <c r="H24" i="1"/>
  <c r="O23" i="1"/>
  <c r="N23" i="1"/>
  <c r="M23" i="1"/>
  <c r="L23" i="1"/>
  <c r="K23" i="1"/>
  <c r="J23" i="1"/>
  <c r="I23" i="1"/>
  <c r="H23" i="1"/>
  <c r="O18" i="1"/>
  <c r="N18" i="1"/>
  <c r="M18" i="1"/>
  <c r="L18" i="1"/>
  <c r="K18" i="1"/>
  <c r="J18" i="1"/>
  <c r="I18" i="1"/>
  <c r="H18" i="1"/>
  <c r="O17" i="1"/>
  <c r="N17" i="1"/>
  <c r="M17" i="1"/>
  <c r="L17" i="1"/>
  <c r="K17" i="1"/>
  <c r="J17" i="1"/>
  <c r="I17" i="1"/>
  <c r="H17" i="1"/>
  <c r="O16" i="1"/>
  <c r="N16" i="1"/>
  <c r="M16" i="1"/>
  <c r="L16" i="1"/>
  <c r="K16" i="1"/>
  <c r="J16" i="1"/>
  <c r="I16" i="1"/>
  <c r="H16" i="1"/>
  <c r="O15" i="1"/>
  <c r="N15" i="1"/>
  <c r="M15" i="1"/>
  <c r="L15" i="1"/>
  <c r="K15" i="1"/>
  <c r="J15" i="1"/>
  <c r="I15" i="1"/>
  <c r="H15" i="1"/>
  <c r="O14" i="1"/>
  <c r="N14" i="1"/>
  <c r="M14" i="1"/>
  <c r="L14" i="1"/>
  <c r="K14" i="1"/>
  <c r="J14" i="1"/>
  <c r="I14" i="1"/>
  <c r="H14" i="1"/>
  <c r="O11" i="1"/>
  <c r="N11" i="1"/>
  <c r="M11" i="1"/>
  <c r="L11" i="1"/>
  <c r="K11" i="1"/>
  <c r="J11" i="1"/>
  <c r="I11" i="1"/>
  <c r="H11" i="1"/>
  <c r="N10" i="1"/>
  <c r="M10" i="1"/>
  <c r="L10" i="1"/>
  <c r="K10" i="1"/>
  <c r="J10" i="1"/>
  <c r="I10" i="1"/>
  <c r="H10" i="1"/>
  <c r="M9" i="1"/>
  <c r="I9" i="1"/>
  <c r="L36" i="1" l="1"/>
  <c r="M36" i="1" s="1"/>
  <c r="J35" i="1"/>
  <c r="K35" i="1" s="1"/>
  <c r="I34" i="1"/>
  <c r="J34" i="1" s="1"/>
  <c r="P10" i="1"/>
  <c r="P17" i="1"/>
  <c r="P24" i="1"/>
  <c r="P31" i="1"/>
  <c r="P16" i="1"/>
  <c r="P23" i="1"/>
  <c r="P15" i="1"/>
  <c r="P11" i="1"/>
  <c r="P14" i="1"/>
  <c r="P18" i="1"/>
  <c r="N36" i="1" l="1"/>
  <c r="O36" i="1" s="1"/>
  <c r="P36" i="1" s="1"/>
  <c r="Q36" i="1" s="1"/>
  <c r="K34" i="1"/>
  <c r="L34" i="1" s="1"/>
  <c r="M34" i="1" s="1"/>
  <c r="L35" i="1"/>
  <c r="H50" i="1"/>
  <c r="I50" i="1" s="1"/>
  <c r="N12" i="1"/>
  <c r="M12" i="1"/>
  <c r="L12" i="1"/>
  <c r="K12" i="1"/>
  <c r="J12" i="1"/>
  <c r="M35" i="1" l="1"/>
  <c r="N35" i="1" s="1"/>
  <c r="O35" i="1" s="1"/>
  <c r="P35" i="1" s="1"/>
  <c r="Q35" i="1" s="1"/>
  <c r="N34" i="1"/>
  <c r="O34" i="1" s="1"/>
  <c r="J50" i="1"/>
  <c r="K50" i="1" s="1"/>
  <c r="D70" i="1"/>
  <c r="D9" i="2" s="1"/>
  <c r="C70" i="1"/>
  <c r="C9" i="2" s="1"/>
  <c r="P34" i="1" l="1"/>
  <c r="Q34" i="1" s="1"/>
  <c r="L50" i="1"/>
  <c r="M50" i="1" l="1"/>
  <c r="N50" i="1" s="1"/>
  <c r="G28" i="1"/>
  <c r="C75" i="1"/>
  <c r="D75" i="1"/>
  <c r="E53" i="1"/>
  <c r="O50" i="1" l="1"/>
  <c r="P50" i="1" s="1"/>
  <c r="G53" i="1"/>
  <c r="E68" i="1"/>
  <c r="J51" i="1"/>
  <c r="P51" i="1" s="1"/>
  <c r="Q58" i="1"/>
  <c r="Q57" i="1"/>
  <c r="Q56" i="1"/>
  <c r="M13" i="1"/>
  <c r="H12" i="1"/>
  <c r="H13" i="1"/>
  <c r="H9" i="1"/>
  <c r="N9" i="1"/>
  <c r="L9" i="1"/>
  <c r="K9" i="1"/>
  <c r="J9" i="1"/>
  <c r="N13" i="1"/>
  <c r="L13" i="1"/>
  <c r="K13" i="1"/>
  <c r="J13" i="1"/>
  <c r="I12" i="1"/>
  <c r="I13" i="1"/>
  <c r="H67" i="1"/>
  <c r="C47" i="1"/>
  <c r="D47" i="1"/>
  <c r="E72" i="1"/>
  <c r="D76" i="1"/>
  <c r="C76" i="1"/>
  <c r="C74" i="1"/>
  <c r="D74" i="1"/>
  <c r="D59" i="1" l="1"/>
  <c r="D7" i="2"/>
  <c r="C59" i="1"/>
  <c r="C7" i="2"/>
  <c r="O12" i="1"/>
  <c r="Q51" i="1"/>
  <c r="Q14" i="1"/>
  <c r="H37" i="1"/>
  <c r="H28" i="1"/>
  <c r="H26" i="1"/>
  <c r="I67" i="1"/>
  <c r="J67" i="1" s="1"/>
  <c r="K67" i="1" s="1"/>
  <c r="Q23" i="1"/>
  <c r="E47" i="1"/>
  <c r="Q17" i="1"/>
  <c r="Q18" i="1"/>
  <c r="Q16" i="1"/>
  <c r="F68" i="1"/>
  <c r="O13" i="1"/>
  <c r="H25" i="1"/>
  <c r="E70" i="1"/>
  <c r="E59" i="1" l="1"/>
  <c r="E7" i="2"/>
  <c r="E74" i="1"/>
  <c r="E9" i="2"/>
  <c r="C73" i="1"/>
  <c r="C77" i="1" s="1"/>
  <c r="C10" i="2" s="1"/>
  <c r="C8" i="2"/>
  <c r="D73" i="1"/>
  <c r="D77" i="1" s="1"/>
  <c r="D10" i="2" s="1"/>
  <c r="D8" i="2"/>
  <c r="H38" i="1"/>
  <c r="I38" i="1" s="1"/>
  <c r="J38" i="1" s="1"/>
  <c r="I28" i="1"/>
  <c r="J28" i="1" s="1"/>
  <c r="I26" i="1"/>
  <c r="J26" i="1" s="1"/>
  <c r="H27" i="1"/>
  <c r="Q10" i="1"/>
  <c r="P9" i="1"/>
  <c r="Q9" i="1" s="1"/>
  <c r="H39" i="1"/>
  <c r="I39" i="1" s="1"/>
  <c r="P12" i="1"/>
  <c r="Q12" i="1" s="1"/>
  <c r="P13" i="1"/>
  <c r="Q13" i="1" s="1"/>
  <c r="G68" i="1"/>
  <c r="H68" i="1" s="1"/>
  <c r="I37" i="1"/>
  <c r="H43" i="1"/>
  <c r="I43" i="1" s="1"/>
  <c r="H41" i="1"/>
  <c r="Q11" i="1"/>
  <c r="F47" i="1"/>
  <c r="F59" i="1" s="1"/>
  <c r="H19" i="1"/>
  <c r="L67" i="1"/>
  <c r="H66" i="1"/>
  <c r="Q15" i="1"/>
  <c r="F70" i="1"/>
  <c r="I25" i="1"/>
  <c r="H65" i="1"/>
  <c r="F74" i="1" l="1"/>
  <c r="F9" i="2"/>
  <c r="H52" i="1"/>
  <c r="I52" i="1" s="1"/>
  <c r="F7" i="2"/>
  <c r="E73" i="1"/>
  <c r="E77" i="1" s="1"/>
  <c r="E8" i="2"/>
  <c r="K28" i="1"/>
  <c r="L28" i="1" s="1"/>
  <c r="I68" i="1"/>
  <c r="J68" i="1" s="1"/>
  <c r="J43" i="1"/>
  <c r="K43" i="1" s="1"/>
  <c r="I27" i="1"/>
  <c r="J27" i="1" s="1"/>
  <c r="K26" i="1"/>
  <c r="L26" i="1" s="1"/>
  <c r="J39" i="1"/>
  <c r="K39" i="1" s="1"/>
  <c r="G70" i="1"/>
  <c r="K38" i="1"/>
  <c r="L38" i="1" s="1"/>
  <c r="M38" i="1" s="1"/>
  <c r="H40" i="1"/>
  <c r="J37" i="1"/>
  <c r="I41" i="1"/>
  <c r="J41" i="1" s="1"/>
  <c r="K41" i="1" s="1"/>
  <c r="L41" i="1" s="1"/>
  <c r="J25" i="1"/>
  <c r="I66" i="1"/>
  <c r="G47" i="1"/>
  <c r="G7" i="2" s="1"/>
  <c r="H44" i="1"/>
  <c r="I44" i="1" s="1"/>
  <c r="H21" i="1"/>
  <c r="I65" i="1"/>
  <c r="H22" i="1"/>
  <c r="H64" i="1"/>
  <c r="I64" i="1" s="1"/>
  <c r="J64" i="1" s="1"/>
  <c r="M67" i="1"/>
  <c r="I19" i="1"/>
  <c r="H20" i="1"/>
  <c r="H42" i="1"/>
  <c r="G74" i="1" l="1"/>
  <c r="G9" i="2"/>
  <c r="F73" i="1"/>
  <c r="F8" i="2"/>
  <c r="F72" i="1"/>
  <c r="E10" i="2"/>
  <c r="M28" i="1"/>
  <c r="N28" i="1" s="1"/>
  <c r="O28" i="1" s="1"/>
  <c r="P28" i="1" s="1"/>
  <c r="M26" i="1"/>
  <c r="K27" i="1"/>
  <c r="G59" i="1"/>
  <c r="H53" i="1"/>
  <c r="H55" i="1"/>
  <c r="I55" i="1" s="1"/>
  <c r="J55" i="1" s="1"/>
  <c r="L39" i="1"/>
  <c r="M39" i="1" s="1"/>
  <c r="N39" i="1" s="1"/>
  <c r="I21" i="1"/>
  <c r="H54" i="1"/>
  <c r="J52" i="1"/>
  <c r="Q50" i="1"/>
  <c r="H70" i="1"/>
  <c r="K64" i="1"/>
  <c r="K68" i="1"/>
  <c r="H47" i="1"/>
  <c r="H7" i="2" s="1"/>
  <c r="I20" i="1"/>
  <c r="N67" i="1"/>
  <c r="O67" i="1" s="1"/>
  <c r="P67" i="1" s="1"/>
  <c r="Q67" i="1" s="1"/>
  <c r="K25" i="1"/>
  <c r="L25" i="1" s="1"/>
  <c r="K37" i="1"/>
  <c r="N38" i="1"/>
  <c r="O38" i="1" s="1"/>
  <c r="P38" i="1" s="1"/>
  <c r="J44" i="1"/>
  <c r="J66" i="1"/>
  <c r="I70" i="1"/>
  <c r="I42" i="1"/>
  <c r="I40" i="1"/>
  <c r="J40" i="1" s="1"/>
  <c r="M41" i="1"/>
  <c r="I22" i="1"/>
  <c r="J65" i="1"/>
  <c r="J19" i="1"/>
  <c r="L43" i="1"/>
  <c r="F77" i="1" l="1"/>
  <c r="G72" i="1" s="1"/>
  <c r="H74" i="1"/>
  <c r="H9" i="2"/>
  <c r="G73" i="1"/>
  <c r="G8" i="2"/>
  <c r="I74" i="1"/>
  <c r="I9" i="2"/>
  <c r="I53" i="1"/>
  <c r="J53" i="1" s="1"/>
  <c r="K53" i="1" s="1"/>
  <c r="L53" i="1" s="1"/>
  <c r="Q28" i="1"/>
  <c r="N26" i="1"/>
  <c r="O26" i="1" s="1"/>
  <c r="P26" i="1" s="1"/>
  <c r="L27" i="1"/>
  <c r="M27" i="1" s="1"/>
  <c r="M25" i="1"/>
  <c r="N25" i="1" s="1"/>
  <c r="J21" i="1"/>
  <c r="K21" i="1" s="1"/>
  <c r="K55" i="1"/>
  <c r="L55" i="1" s="1"/>
  <c r="H59" i="1"/>
  <c r="I54" i="1"/>
  <c r="J54" i="1" s="1"/>
  <c r="K52" i="1"/>
  <c r="L52" i="1" s="1"/>
  <c r="K44" i="1"/>
  <c r="L44" i="1" s="1"/>
  <c r="M44" i="1" s="1"/>
  <c r="Q38" i="1"/>
  <c r="L68" i="1"/>
  <c r="J22" i="1"/>
  <c r="L37" i="1"/>
  <c r="K66" i="1"/>
  <c r="L66" i="1" s="1"/>
  <c r="J70" i="1"/>
  <c r="K40" i="1"/>
  <c r="N41" i="1"/>
  <c r="O41" i="1" s="1"/>
  <c r="O39" i="1"/>
  <c r="P39" i="1" s="1"/>
  <c r="Q39" i="1" s="1"/>
  <c r="K65" i="1"/>
  <c r="L65" i="1" s="1"/>
  <c r="K19" i="1"/>
  <c r="I47" i="1"/>
  <c r="I7" i="2" s="1"/>
  <c r="L64" i="1"/>
  <c r="M64" i="1" s="1"/>
  <c r="J42" i="1"/>
  <c r="J20" i="1"/>
  <c r="K20" i="1" s="1"/>
  <c r="M43" i="1"/>
  <c r="N43" i="1" s="1"/>
  <c r="F10" i="2" l="1"/>
  <c r="G77" i="1"/>
  <c r="H72" i="1" s="1"/>
  <c r="J74" i="1"/>
  <c r="J9" i="2"/>
  <c r="H73" i="1"/>
  <c r="H8" i="2"/>
  <c r="M66" i="1"/>
  <c r="N66" i="1" s="1"/>
  <c r="Q26" i="1"/>
  <c r="N27" i="1"/>
  <c r="O27" i="1" s="1"/>
  <c r="P27" i="1" s="1"/>
  <c r="I59" i="1"/>
  <c r="M53" i="1"/>
  <c r="N53" i="1" s="1"/>
  <c r="K54" i="1"/>
  <c r="L54" i="1" s="1"/>
  <c r="M55" i="1"/>
  <c r="N55" i="1" s="1"/>
  <c r="O55" i="1" s="1"/>
  <c r="P55" i="1" s="1"/>
  <c r="Q55" i="1" s="1"/>
  <c r="O25" i="1"/>
  <c r="P25" i="1" s="1"/>
  <c r="O43" i="1"/>
  <c r="P43" i="1" s="1"/>
  <c r="Q43" i="1" s="1"/>
  <c r="L21" i="1"/>
  <c r="M21" i="1" s="1"/>
  <c r="N21" i="1" s="1"/>
  <c r="M52" i="1"/>
  <c r="N52" i="1" s="1"/>
  <c r="O52" i="1" s="1"/>
  <c r="P52" i="1" s="1"/>
  <c r="Q24" i="1"/>
  <c r="M68" i="1"/>
  <c r="L20" i="1"/>
  <c r="M20" i="1" s="1"/>
  <c r="N20" i="1" s="1"/>
  <c r="K42" i="1"/>
  <c r="L42" i="1" s="1"/>
  <c r="N44" i="1"/>
  <c r="O44" i="1" s="1"/>
  <c r="P44" i="1" s="1"/>
  <c r="Q44" i="1" s="1"/>
  <c r="L70" i="1"/>
  <c r="M65" i="1"/>
  <c r="N65" i="1" s="1"/>
  <c r="K70" i="1"/>
  <c r="M37" i="1"/>
  <c r="P41" i="1"/>
  <c r="Q41" i="1" s="1"/>
  <c r="J47" i="1"/>
  <c r="N64" i="1"/>
  <c r="L40" i="1"/>
  <c r="M40" i="1" s="1"/>
  <c r="N40" i="1" s="1"/>
  <c r="O40" i="1" s="1"/>
  <c r="P40" i="1" s="1"/>
  <c r="Q40" i="1" s="1"/>
  <c r="L19" i="1"/>
  <c r="K22" i="1"/>
  <c r="L22" i="1" s="1"/>
  <c r="H77" i="1" l="1"/>
  <c r="I72" i="1" s="1"/>
  <c r="G10" i="2"/>
  <c r="J59" i="1"/>
  <c r="J7" i="2"/>
  <c r="L74" i="1"/>
  <c r="L9" i="2"/>
  <c r="I73" i="1"/>
  <c r="I8" i="2"/>
  <c r="O66" i="1"/>
  <c r="P66" i="1" s="1"/>
  <c r="Q66" i="1" s="1"/>
  <c r="K74" i="1"/>
  <c r="K9" i="2"/>
  <c r="O53" i="1"/>
  <c r="P53" i="1" s="1"/>
  <c r="Q27" i="1"/>
  <c r="O21" i="1"/>
  <c r="P21" i="1" s="1"/>
  <c r="Q21" i="1" s="1"/>
  <c r="M54" i="1"/>
  <c r="N54" i="1" s="1"/>
  <c r="M70" i="1"/>
  <c r="O65" i="1"/>
  <c r="P65" i="1" s="1"/>
  <c r="Q65" i="1" s="1"/>
  <c r="Q25" i="1"/>
  <c r="Q52" i="1"/>
  <c r="O20" i="1"/>
  <c r="P20" i="1" s="1"/>
  <c r="Q20" i="1" s="1"/>
  <c r="O64" i="1"/>
  <c r="M42" i="1"/>
  <c r="N42" i="1" s="1"/>
  <c r="O42" i="1" s="1"/>
  <c r="P42" i="1" s="1"/>
  <c r="Q42" i="1" s="1"/>
  <c r="N68" i="1"/>
  <c r="O68" i="1" s="1"/>
  <c r="P68" i="1" s="1"/>
  <c r="Q68" i="1" s="1"/>
  <c r="M22" i="1"/>
  <c r="N22" i="1" s="1"/>
  <c r="O22" i="1" s="1"/>
  <c r="L47" i="1"/>
  <c r="M19" i="1"/>
  <c r="N37" i="1"/>
  <c r="O37" i="1" s="1"/>
  <c r="P37" i="1" s="1"/>
  <c r="Q37" i="1" s="1"/>
  <c r="K47" i="1"/>
  <c r="H10" i="2" l="1"/>
  <c r="L59" i="1"/>
  <c r="L7" i="2"/>
  <c r="K59" i="1"/>
  <c r="K7" i="2"/>
  <c r="M74" i="1"/>
  <c r="M9" i="2"/>
  <c r="I77" i="1"/>
  <c r="J73" i="1"/>
  <c r="J8" i="2"/>
  <c r="Q31" i="1"/>
  <c r="Q53" i="1"/>
  <c r="O54" i="1"/>
  <c r="P54" i="1" s="1"/>
  <c r="Q54" i="1" s="1"/>
  <c r="M47" i="1"/>
  <c r="N19" i="1"/>
  <c r="N47" i="1" s="1"/>
  <c r="P22" i="1"/>
  <c r="Q22" i="1" s="1"/>
  <c r="O70" i="1"/>
  <c r="N70" i="1"/>
  <c r="P64" i="1"/>
  <c r="P70" i="1" s="1"/>
  <c r="N59" i="1" l="1"/>
  <c r="N7" i="2"/>
  <c r="M59" i="1"/>
  <c r="M7" i="2"/>
  <c r="P74" i="1"/>
  <c r="P9" i="2"/>
  <c r="J72" i="1"/>
  <c r="J77" i="1" s="1"/>
  <c r="I10" i="2"/>
  <c r="K73" i="1"/>
  <c r="K8" i="2"/>
  <c r="N74" i="1"/>
  <c r="N9" i="2"/>
  <c r="O74" i="1"/>
  <c r="O9" i="2"/>
  <c r="L73" i="1"/>
  <c r="L8" i="2"/>
  <c r="Q64" i="1"/>
  <c r="O19" i="1"/>
  <c r="K72" i="1" l="1"/>
  <c r="K77" i="1" s="1"/>
  <c r="J10" i="2"/>
  <c r="M73" i="1"/>
  <c r="M8" i="2"/>
  <c r="N73" i="1"/>
  <c r="N8" i="2"/>
  <c r="O47" i="1"/>
  <c r="P19" i="1"/>
  <c r="O59" i="1" l="1"/>
  <c r="O7" i="2"/>
  <c r="L72" i="1"/>
  <c r="L77" i="1" s="1"/>
  <c r="K10" i="2"/>
  <c r="P47" i="1"/>
  <c r="Q19" i="1"/>
  <c r="M72" i="1" l="1"/>
  <c r="M77" i="1" s="1"/>
  <c r="L10" i="2"/>
  <c r="P59" i="1"/>
  <c r="P7" i="2"/>
  <c r="O73" i="1"/>
  <c r="O8" i="2"/>
  <c r="P73" i="1" l="1"/>
  <c r="P8" i="2"/>
  <c r="N72" i="1"/>
  <c r="N77" i="1" s="1"/>
  <c r="M10" i="2"/>
  <c r="O72" i="1" l="1"/>
  <c r="O77" i="1" s="1"/>
  <c r="N10" i="2"/>
  <c r="P72" i="1" l="1"/>
  <c r="P77" i="1" s="1"/>
  <c r="P10" i="2" s="1"/>
  <c r="O1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Denise Wolff</author>
  </authors>
  <commentList>
    <comment ref="C5" authorId="0" shapeId="0" xr:uid="{00000000-0006-0000-0000-000001000000}">
      <text>
        <r>
          <rPr>
            <sz val="9"/>
            <color indexed="81"/>
            <rFont val="Tahoma"/>
            <charset val="1"/>
          </rPr>
          <t xml:space="preserve">Budgeted enrollment numbers.
</t>
        </r>
      </text>
    </comment>
    <comment ref="D5" authorId="0" shapeId="0" xr:uid="{00000000-0006-0000-0000-000002000000}">
      <text>
        <r>
          <rPr>
            <sz val="9"/>
            <color indexed="81"/>
            <rFont val="Tahoma"/>
            <charset val="1"/>
          </rPr>
          <t xml:space="preserve">Insert the Average FTE
here and update monthly.
</t>
        </r>
      </text>
    </comment>
    <comment ref="C7" authorId="0" shapeId="0" xr:uid="{00000000-0006-0000-0000-000003000000}">
      <text>
        <r>
          <rPr>
            <sz val="9"/>
            <color indexed="81"/>
            <rFont val="Tahoma"/>
            <charset val="1"/>
          </rPr>
          <t>This column is your budgeted figures.  It would only change if you did a budget extension</t>
        </r>
      </text>
    </comment>
    <comment ref="D7" authorId="0" shapeId="0" xr:uid="{00000000-0006-0000-0000-000004000000}">
      <text>
        <r>
          <rPr>
            <sz val="9"/>
            <color indexed="81"/>
            <rFont val="Tahoma"/>
            <charset val="1"/>
          </rPr>
          <t>Sept. through Dec. this will reflect budget.  Starting in January, use the apportionment figures.  Only revenue flowing through OSPI belongs in this area.</t>
        </r>
      </text>
    </comment>
    <comment ref="D13" authorId="0" shapeId="0" xr:uid="{00000000-0006-0000-0000-000005000000}">
      <text>
        <r>
          <rPr>
            <sz val="9"/>
            <color indexed="81"/>
            <rFont val="Tahoma"/>
            <charset val="1"/>
          </rPr>
          <t xml:space="preserve">The January-August figure will not appear on your apportionment report until February, but you can get the figure from your F-780 report.
</t>
        </r>
      </text>
    </comment>
    <comment ref="D62" authorId="0" shapeId="0" xr:uid="{00000000-0006-0000-0000-000006000000}">
      <text>
        <r>
          <rPr>
            <sz val="9"/>
            <color indexed="81"/>
            <rFont val="Tahoma"/>
            <charset val="1"/>
          </rPr>
          <t xml:space="preserve">These columns should be adjusted as better estimates are determined.
</t>
        </r>
      </text>
    </comment>
    <comment ref="D72" authorId="0" shapeId="0" xr:uid="{00000000-0006-0000-0000-000007000000}">
      <text>
        <r>
          <rPr>
            <sz val="8"/>
            <color indexed="81"/>
            <rFont val="Tahoma"/>
            <family val="2"/>
          </rPr>
          <t xml:space="preserve">This number is your ending fund balance from the prior year's F196 report.
</t>
        </r>
      </text>
    </comment>
    <comment ref="B75" authorId="0" shapeId="0" xr:uid="{00000000-0006-0000-0000-000008000000}">
      <text>
        <r>
          <rPr>
            <sz val="9"/>
            <color indexed="81"/>
            <rFont val="Tahoma"/>
            <charset val="1"/>
          </rPr>
          <t xml:space="preserve">Transfers and Redirections are not included in the expenditures.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Denise Wolff</author>
  </authors>
  <commentList>
    <comment ref="C4" authorId="0" shapeId="0" xr:uid="{00000000-0006-0000-0100-000001000000}">
      <text>
        <r>
          <rPr>
            <sz val="9"/>
            <color indexed="81"/>
            <rFont val="Tahoma"/>
            <charset val="1"/>
          </rPr>
          <t xml:space="preserve">Budgeted enrollment numbers.
</t>
        </r>
      </text>
    </comment>
    <comment ref="D4" authorId="0" shapeId="0" xr:uid="{00000000-0006-0000-0100-000002000000}">
      <text>
        <r>
          <rPr>
            <sz val="9"/>
            <color indexed="81"/>
            <rFont val="Tahoma"/>
            <charset val="1"/>
          </rPr>
          <t xml:space="preserve">Insert the Average FTE
here and update monthly.
</t>
        </r>
      </text>
    </comment>
    <comment ref="C6" authorId="0" shapeId="0" xr:uid="{00000000-0006-0000-0100-000003000000}">
      <text>
        <r>
          <rPr>
            <sz val="9"/>
            <color indexed="81"/>
            <rFont val="Tahoma"/>
            <charset val="1"/>
          </rPr>
          <t>This column is your budgeted figures.  It would only change if you did a budget extension</t>
        </r>
      </text>
    </comment>
    <comment ref="D6" authorId="0" shapeId="0" xr:uid="{00000000-0006-0000-0100-000004000000}">
      <text>
        <r>
          <rPr>
            <sz val="9"/>
            <color indexed="81"/>
            <rFont val="Tahoma"/>
            <charset val="1"/>
          </rPr>
          <t>Sept. through Dec. this will reflect budget.  Starting in January, use the apportionment figures.  Only revenue flowing through OSPI belongs in this area.</t>
        </r>
      </text>
    </comment>
  </commentList>
</comments>
</file>

<file path=xl/sharedStrings.xml><?xml version="1.0" encoding="utf-8"?>
<sst xmlns="http://schemas.openxmlformats.org/spreadsheetml/2006/main" count="231" uniqueCount="135">
  <si>
    <t>Total Revenues</t>
  </si>
  <si>
    <t>Food Serv</t>
  </si>
  <si>
    <t>January</t>
  </si>
  <si>
    <t>February</t>
  </si>
  <si>
    <t>March</t>
  </si>
  <si>
    <t>April</t>
  </si>
  <si>
    <t>Annual Amt.</t>
  </si>
  <si>
    <t>September</t>
  </si>
  <si>
    <t>October</t>
  </si>
  <si>
    <t>November</t>
  </si>
  <si>
    <t>December</t>
  </si>
  <si>
    <t>Breakfast</t>
  </si>
  <si>
    <t>May</t>
  </si>
  <si>
    <t>June</t>
  </si>
  <si>
    <t>July</t>
  </si>
  <si>
    <t>August</t>
  </si>
  <si>
    <t>Fed Title I-51</t>
  </si>
  <si>
    <t>Fed Migrant-53</t>
  </si>
  <si>
    <t>Original Budget</t>
  </si>
  <si>
    <t>estimate</t>
  </si>
  <si>
    <t>Expenditures</t>
  </si>
  <si>
    <t>4198-01</t>
  </si>
  <si>
    <t>4158-02</t>
  </si>
  <si>
    <t>4158-04</t>
  </si>
  <si>
    <t>APPORTIONMENT</t>
  </si>
  <si>
    <t>Regular Apportionment</t>
  </si>
  <si>
    <t>Voc Equipment</t>
  </si>
  <si>
    <t>Apport Spec Ed</t>
  </si>
  <si>
    <t>Special Ed</t>
  </si>
  <si>
    <t>Learning Assist</t>
  </si>
  <si>
    <t>Teacher A P</t>
  </si>
  <si>
    <t>Prof Development</t>
  </si>
  <si>
    <t>4198-04</t>
  </si>
  <si>
    <t>Reduced Lunch</t>
  </si>
  <si>
    <t>3100-06</t>
  </si>
  <si>
    <t>Transitional 4165 (bilingual)</t>
  </si>
  <si>
    <t>Highly Capable</t>
  </si>
  <si>
    <t>Transportation</t>
  </si>
  <si>
    <t>Fed Special ED-24</t>
  </si>
  <si>
    <t>Fed Vocational-38</t>
  </si>
  <si>
    <t>Fed Title II -52</t>
  </si>
  <si>
    <t>State Institutions</t>
  </si>
  <si>
    <t>LEA (Sept through Dec)</t>
  </si>
  <si>
    <t>LEA (Jan through Aug)</t>
  </si>
  <si>
    <t>Current</t>
  </si>
  <si>
    <t>Grant</t>
  </si>
  <si>
    <t>4158-06</t>
  </si>
  <si>
    <t>Truancy</t>
  </si>
  <si>
    <t>4158-07</t>
  </si>
  <si>
    <t>MS Tech Ed</t>
  </si>
  <si>
    <t>Current Estimate</t>
  </si>
  <si>
    <t>2000 Local Deposits</t>
  </si>
  <si>
    <t>Plus Revenue</t>
  </si>
  <si>
    <t>Minus Expenditures</t>
  </si>
  <si>
    <t>1500 Timber Excise</t>
  </si>
  <si>
    <t>Notes Specific to District's Balancing Process:</t>
  </si>
  <si>
    <t xml:space="preserve">Note:  </t>
  </si>
  <si>
    <t>Fund Balance Projection  (Apportionment Based)</t>
  </si>
  <si>
    <t>Check Total</t>
  </si>
  <si>
    <t>REVENUE</t>
  </si>
  <si>
    <t>ENROLLMENT</t>
  </si>
  <si>
    <t>Beginning Fund Balance</t>
  </si>
  <si>
    <t>Birth-2 Sped</t>
  </si>
  <si>
    <t>Fed Birth-2 Sped</t>
  </si>
  <si>
    <t>June 6%</t>
  </si>
  <si>
    <t>August 10%</t>
  </si>
  <si>
    <t>December 9.%</t>
  </si>
  <si>
    <t>February 9.%</t>
  </si>
  <si>
    <t>March 9.%</t>
  </si>
  <si>
    <t>April 9.%</t>
  </si>
  <si>
    <t>September 9.%</t>
  </si>
  <si>
    <t>Each year, you must download a new sheet to have the coding populated for projections.</t>
  </si>
  <si>
    <t>Before you begin entering your monthly data, remove all the coding in the column and hard code your values.  Leaving a code in place would result in the code recalculating each time you Current column number changes.</t>
  </si>
  <si>
    <t>October 8.%</t>
  </si>
  <si>
    <t>January 8.5%</t>
  </si>
  <si>
    <t>May 5.0%</t>
  </si>
  <si>
    <t>July 12.5%</t>
  </si>
  <si>
    <t>November 5.%</t>
  </si>
  <si>
    <t>SY 2020-21</t>
  </si>
  <si>
    <t>* Each month, after January, review and update the current apportionment and revenue estimates to reflect your expected final amounts.</t>
  </si>
  <si>
    <t>* If you are a cash district, you need to recognize your carryover or recovery that appears on your January apportionment as an adjustment.  If you are accrual,  review how you recognized it in your year end adjustments.</t>
  </si>
  <si>
    <t>* Review expenditures monthly, using actual monthly expenditures to predict final expenditures.  Update the amount in the Current Estimate.  The formula will automatically fill in the remainder month's expenditure estimates.</t>
  </si>
  <si>
    <t>* Don't forget to consider adjusting expenditure entries such as commodities, when comparing expenditures to budget appropriation (expenditures) for possible budget extension requirements.</t>
  </si>
  <si>
    <t xml:space="preserve">Apportionment Totals- </t>
  </si>
  <si>
    <t xml:space="preserve">1100 Taxes collected </t>
  </si>
  <si>
    <t>Line 035 F-197</t>
  </si>
  <si>
    <t>Line 020 F-197</t>
  </si>
  <si>
    <t xml:space="preserve">2300 Interest </t>
  </si>
  <si>
    <t>Line 002 F-197</t>
  </si>
  <si>
    <t xml:space="preserve"> Line 001 F-197</t>
  </si>
  <si>
    <t xml:space="preserve">Other deposits: </t>
  </si>
  <si>
    <t>Federal, State, Non SPI</t>
  </si>
  <si>
    <t>Adjustments</t>
  </si>
  <si>
    <t>Cancelled warrants</t>
  </si>
  <si>
    <t xml:space="preserve">Payroll - Certificated </t>
  </si>
  <si>
    <t>Object 2</t>
  </si>
  <si>
    <t xml:space="preserve">Payroll - Classified </t>
  </si>
  <si>
    <t>Object 3</t>
  </si>
  <si>
    <t xml:space="preserve">Benefits </t>
  </si>
  <si>
    <t>Object 4</t>
  </si>
  <si>
    <t xml:space="preserve">Accounts Payable </t>
  </si>
  <si>
    <t>Objects 5 through 9</t>
  </si>
  <si>
    <t>Other cash decreases</t>
  </si>
  <si>
    <t xml:space="preserve"> per county</t>
  </si>
  <si>
    <t xml:space="preserve">Total Expenditures  </t>
  </si>
  <si>
    <t>Transfers or</t>
  </si>
  <si>
    <t xml:space="preserve"> Redirection of Apportionment</t>
  </si>
  <si>
    <t xml:space="preserve">Plus or Minus </t>
  </si>
  <si>
    <t xml:space="preserve">Ending/Projected Fund Balance </t>
  </si>
  <si>
    <t>Balance to Budget Status Report</t>
  </si>
  <si>
    <t xml:space="preserve">Indicates Balance with system generated reports </t>
  </si>
  <si>
    <r>
      <rPr>
        <b/>
        <sz val="10"/>
        <rFont val="Arial"/>
        <family val="2"/>
      </rPr>
      <t>Indicates areas of input and updates</t>
    </r>
    <r>
      <rPr>
        <sz val="10"/>
        <rFont val="Arial"/>
        <family val="2"/>
      </rPr>
      <t xml:space="preserve"> </t>
    </r>
  </si>
  <si>
    <t xml:space="preserve">January apportionment projection </t>
  </si>
  <si>
    <t>Balance to Apportionment report</t>
  </si>
  <si>
    <t>ARP Fed Special ED-23</t>
  </si>
  <si>
    <t>ESSER II</t>
  </si>
  <si>
    <t>ESSER III</t>
  </si>
  <si>
    <t>ESSER III- Learning Loss</t>
  </si>
  <si>
    <t xml:space="preserve">Prior Year </t>
  </si>
  <si>
    <t>Late Grand Claim Adj. from Apportionment</t>
  </si>
  <si>
    <t>3600/5500 Forest Money</t>
  </si>
  <si>
    <t>Line 030/034 F-197</t>
  </si>
  <si>
    <t>North River School District</t>
  </si>
  <si>
    <t>SY 2022-23</t>
  </si>
  <si>
    <t>SLFRF</t>
  </si>
  <si>
    <t>Commodities</t>
  </si>
  <si>
    <t>Supply chain Assistance</t>
  </si>
  <si>
    <t>Actual</t>
  </si>
  <si>
    <t>4198-06</t>
  </si>
  <si>
    <t>4198-07</t>
  </si>
  <si>
    <t>State CEP Copay Breakfast</t>
  </si>
  <si>
    <t>State CEP Copay Lunch</t>
  </si>
  <si>
    <t>6198-04</t>
  </si>
  <si>
    <t>School Breakfast Program</t>
  </si>
  <si>
    <t>School Lunch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</si>
</sst>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2" x14ac:knownFonts="1">
    <font>
      <sz val="10"/>
      <name val="Arial"/>
    </font>
    <font>
      <sz val="10"/>
      <name val="Arial"/>
      <family val="2"/>
    </font>
    <font>
      <sz val="10"/>
      <name val="Tahoma"/>
      <family val="2"/>
    </font>
    <font>
      <b/>
      <sz val="10"/>
      <name val="Tahoma"/>
      <family val="2"/>
    </font>
    <font>
      <b/>
      <sz val="10"/>
      <name val="Arial"/>
      <family val="2"/>
    </font>
    <font>
      <b/>
      <i/>
      <sz val="10"/>
      <name val="Tahoma"/>
      <family val="2"/>
    </font>
    <font>
      <sz val="10"/>
      <name val="Arial"/>
      <family val="2"/>
    </font>
    <font>
      <b/>
      <sz val="10"/>
      <name val="Arial"/>
      <family val="2"/>
    </font>
    <font>
      <sz val="14"/>
      <name val="Arial"/>
      <family val="2"/>
    </font>
    <font>
      <sz val="9"/>
      <name val="Arial"/>
      <family val="2"/>
    </font>
    <font>
      <b/>
      <sz val="9"/>
      <name val="Arial"/>
      <family val="2"/>
    </font>
    <font>
      <i/>
      <sz val="9"/>
      <name val="Arial"/>
      <family val="2"/>
    </font>
    <font>
      <i/>
      <sz val="14"/>
      <name val="Arial"/>
      <family val="2"/>
    </font>
    <font>
      <b/>
      <i/>
      <sz val="10"/>
      <name val="Arial"/>
      <family val="2"/>
    </font>
    <font>
      <b/>
      <i/>
      <sz val="9"/>
      <name val="Arial"/>
      <family val="2"/>
    </font>
    <font>
      <b/>
      <sz val="12"/>
      <name val="Arial"/>
      <family val="2"/>
    </font>
    <font>
      <sz val="12"/>
      <name val="Arial"/>
      <family val="2"/>
    </font>
    <font>
      <sz val="8"/>
      <color indexed="81"/>
      <name val="Tahoma"/>
      <family val="2"/>
    </font>
    <font>
      <sz val="10"/>
      <color indexed="8"/>
      <name val="Tahoma"/>
      <family val="2"/>
    </font>
    <font>
      <sz val="9"/>
      <color indexed="81"/>
      <name val="Tahoma"/>
      <charset val="1"/>
    </font>
    <font>
      <sz val="10"/>
      <color rgb="FF0000CC"/>
      <name val="Arial"/>
      <family val="2"/>
    </font>
    <font>
      <sz val="9"/>
      <color rgb="FF0000CC"/>
      <name val="Arial"/>
      <family val="2"/>
    </font>
    <font>
      <sz val="10"/>
      <color rgb="FF0070C0"/>
      <name val="Arial"/>
      <family val="2"/>
    </font>
    <font>
      <sz val="10"/>
      <color theme="0" tint="-0.499984740745262"/>
      <name val="Arial"/>
      <family val="2"/>
    </font>
    <font>
      <sz val="10"/>
      <color rgb="FF339933"/>
      <name val="Arial"/>
      <family val="2"/>
    </font>
    <font>
      <sz val="9"/>
      <color rgb="FF339933"/>
      <name val="Arial"/>
      <family val="2"/>
    </font>
    <font>
      <b/>
      <sz val="12"/>
      <color rgb="FF0000CC"/>
      <name val="Arial"/>
      <family val="2"/>
    </font>
    <font>
      <b/>
      <sz val="10"/>
      <color rgb="FFFF0000"/>
      <name val="Tahoma"/>
      <family val="2"/>
    </font>
    <font>
      <i/>
      <sz val="9"/>
      <color rgb="FFFF0000"/>
      <name val="Arial"/>
      <family val="2"/>
    </font>
    <font>
      <sz val="10"/>
      <color rgb="FFFF0000"/>
      <name val="Arial"/>
      <family val="2"/>
    </font>
    <font>
      <b/>
      <i/>
      <sz val="9"/>
      <color rgb="FFFF0000"/>
      <name val="Arial"/>
      <family val="2"/>
    </font>
    <font>
      <sz val="12"/>
      <name val="Tahoma"/>
      <family val="2"/>
    </font>
  </fonts>
  <fills count="10">
    <fill>
      <patternFill patternType="none"/>
    </fill>
    <fill>
      <patternFill patternType="gray125"/>
    </fill>
    <fill>
      <patternFill patternType="solid">
        <fgColor indexed="26"/>
        <bgColor indexed="64"/>
      </patternFill>
    </fill>
    <fill>
      <patternFill patternType="solid">
        <fgColor indexed="65"/>
        <bgColor indexed="64"/>
      </patternFill>
    </fill>
    <fill>
      <patternFill patternType="solid">
        <fgColor rgb="FFFFFFCC"/>
        <bgColor indexed="64"/>
      </patternFill>
    </fill>
    <fill>
      <patternFill patternType="solid">
        <fgColor rgb="FFB1FB57"/>
        <bgColor indexed="64"/>
      </patternFill>
    </fill>
    <fill>
      <patternFill patternType="solid">
        <fgColor rgb="FFFCD5B4"/>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79998168889431442"/>
        <bgColor indexed="64"/>
      </patternFill>
    </fill>
  </fills>
  <borders count="29">
    <border>
      <left/>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231">
    <xf numFmtId="0" fontId="0" fillId="0" borderId="0" xfId="0"/>
    <xf numFmtId="0" fontId="2" fillId="0" borderId="0" xfId="0" applyFont="1"/>
    <xf numFmtId="164" fontId="2" fillId="0" borderId="0" xfId="1" applyNumberFormat="1" applyFont="1"/>
    <xf numFmtId="43" fontId="2" fillId="0" borderId="0" xfId="0" applyNumberFormat="1" applyFont="1"/>
    <xf numFmtId="43" fontId="2" fillId="0" borderId="0" xfId="1" applyNumberFormat="1" applyFont="1"/>
    <xf numFmtId="0" fontId="6" fillId="0" borderId="0" xfId="0" applyFont="1"/>
    <xf numFmtId="164" fontId="6" fillId="0" borderId="0" xfId="1" applyNumberFormat="1" applyFont="1"/>
    <xf numFmtId="0" fontId="7" fillId="0" borderId="0" xfId="0" applyFont="1"/>
    <xf numFmtId="43" fontId="6" fillId="0" borderId="0" xfId="0" applyNumberFormat="1" applyFont="1"/>
    <xf numFmtId="43" fontId="6" fillId="0" borderId="0" xfId="1" applyNumberFormat="1" applyFont="1"/>
    <xf numFmtId="164" fontId="6" fillId="0" borderId="0" xfId="1" applyNumberFormat="1" applyFont="1" applyBorder="1"/>
    <xf numFmtId="43" fontId="6" fillId="0" borderId="0" xfId="1" applyNumberFormat="1" applyFont="1" applyAlignment="1">
      <alignment horizontal="left" indent="1"/>
    </xf>
    <xf numFmtId="43" fontId="7" fillId="0" borderId="3" xfId="1" applyNumberFormat="1" applyFont="1" applyFill="1" applyBorder="1"/>
    <xf numFmtId="0" fontId="0" fillId="0" borderId="0" xfId="0" applyBorder="1"/>
    <xf numFmtId="0" fontId="2" fillId="0" borderId="0" xfId="0" applyFont="1" applyBorder="1"/>
    <xf numFmtId="4" fontId="6" fillId="4" borderId="0" xfId="0" applyNumberFormat="1" applyFont="1" applyFill="1"/>
    <xf numFmtId="4" fontId="2" fillId="4" borderId="0" xfId="0" applyNumberFormat="1" applyFont="1" applyFill="1"/>
    <xf numFmtId="4" fontId="6" fillId="4" borderId="2" xfId="0" applyNumberFormat="1" applyFont="1" applyFill="1" applyBorder="1"/>
    <xf numFmtId="4" fontId="6" fillId="4" borderId="0" xfId="0" applyNumberFormat="1" applyFont="1" applyFill="1" applyBorder="1"/>
    <xf numFmtId="4" fontId="2" fillId="4" borderId="2" xfId="0" applyNumberFormat="1" applyFont="1" applyFill="1" applyBorder="1"/>
    <xf numFmtId="4" fontId="10" fillId="0" borderId="3" xfId="1" applyNumberFormat="1" applyFont="1" applyBorder="1"/>
    <xf numFmtId="4" fontId="7" fillId="0" borderId="3" xfId="1" applyNumberFormat="1" applyFont="1" applyBorder="1"/>
    <xf numFmtId="4" fontId="3" fillId="0" borderId="3" xfId="1" applyNumberFormat="1" applyFont="1" applyBorder="1"/>
    <xf numFmtId="4" fontId="6" fillId="0" borderId="0" xfId="1" applyNumberFormat="1" applyFont="1"/>
    <xf numFmtId="4" fontId="6" fillId="0" borderId="0" xfId="0" applyNumberFormat="1" applyFont="1"/>
    <xf numFmtId="4" fontId="2" fillId="0" borderId="0" xfId="0" applyNumberFormat="1" applyFont="1"/>
    <xf numFmtId="4" fontId="7" fillId="0" borderId="1" xfId="1" applyNumberFormat="1" applyFont="1" applyFill="1" applyBorder="1"/>
    <xf numFmtId="4" fontId="0" fillId="0" borderId="0" xfId="0" applyNumberFormat="1"/>
    <xf numFmtId="4" fontId="6" fillId="0" borderId="2" xfId="1" applyNumberFormat="1" applyFont="1" applyBorder="1"/>
    <xf numFmtId="4" fontId="6" fillId="0" borderId="2" xfId="0" applyNumberFormat="1" applyFont="1" applyBorder="1"/>
    <xf numFmtId="4" fontId="2" fillId="0" borderId="2" xfId="0" applyNumberFormat="1" applyFont="1" applyBorder="1"/>
    <xf numFmtId="0" fontId="16" fillId="0" borderId="0" xfId="0" applyFont="1"/>
    <xf numFmtId="164" fontId="16" fillId="0" borderId="0" xfId="1" applyNumberFormat="1" applyFont="1"/>
    <xf numFmtId="43" fontId="6" fillId="4" borderId="0" xfId="0" applyNumberFormat="1" applyFont="1" applyFill="1"/>
    <xf numFmtId="43" fontId="2" fillId="4" borderId="0" xfId="0" applyNumberFormat="1" applyFont="1" applyFill="1"/>
    <xf numFmtId="164" fontId="2" fillId="0" borderId="0" xfId="1" applyNumberFormat="1" applyFont="1" applyFill="1"/>
    <xf numFmtId="0" fontId="12" fillId="0" borderId="4" xfId="0" applyFont="1" applyBorder="1" applyAlignment="1">
      <alignment horizontal="center"/>
    </xf>
    <xf numFmtId="0" fontId="2" fillId="0" borderId="4" xfId="0" applyFont="1" applyBorder="1"/>
    <xf numFmtId="0" fontId="7" fillId="0" borderId="6" xfId="0" applyFont="1" applyBorder="1" applyAlignment="1">
      <alignment horizontal="center"/>
    </xf>
    <xf numFmtId="0" fontId="4" fillId="0" borderId="6" xfId="0" applyFont="1" applyBorder="1" applyAlignment="1">
      <alignment horizontal="center"/>
    </xf>
    <xf numFmtId="0" fontId="4" fillId="0" borderId="1" xfId="0" applyFont="1" applyBorder="1" applyAlignment="1">
      <alignment horizontal="center"/>
    </xf>
    <xf numFmtId="4" fontId="2" fillId="4" borderId="0" xfId="0" applyNumberFormat="1" applyFont="1" applyFill="1" applyBorder="1"/>
    <xf numFmtId="4" fontId="7" fillId="0" borderId="3" xfId="1" applyNumberFormat="1" applyFont="1" applyFill="1" applyBorder="1"/>
    <xf numFmtId="164" fontId="7" fillId="0" borderId="5" xfId="1" applyNumberFormat="1" applyFont="1" applyBorder="1" applyAlignment="1">
      <alignment horizontal="center"/>
    </xf>
    <xf numFmtId="164" fontId="7" fillId="0" borderId="6" xfId="1" applyNumberFormat="1" applyFont="1" applyBorder="1" applyAlignment="1">
      <alignment horizontal="center"/>
    </xf>
    <xf numFmtId="164" fontId="3" fillId="0" borderId="6" xfId="1" applyNumberFormat="1" applyFont="1" applyBorder="1" applyAlignment="1">
      <alignment horizontal="center"/>
    </xf>
    <xf numFmtId="164" fontId="3" fillId="0" borderId="1" xfId="1" applyNumberFormat="1" applyFont="1" applyBorder="1" applyAlignment="1">
      <alignment horizontal="center"/>
    </xf>
    <xf numFmtId="0" fontId="3" fillId="0" borderId="6" xfId="0" applyFont="1" applyBorder="1" applyAlignment="1">
      <alignment horizontal="center"/>
    </xf>
    <xf numFmtId="0" fontId="3" fillId="0" borderId="1" xfId="0" applyFont="1" applyBorder="1" applyAlignment="1">
      <alignment horizontal="center"/>
    </xf>
    <xf numFmtId="43" fontId="6" fillId="6" borderId="0" xfId="0" applyNumberFormat="1" applyFont="1" applyFill="1"/>
    <xf numFmtId="4" fontId="6" fillId="6" borderId="0" xfId="0" applyNumberFormat="1" applyFont="1" applyFill="1"/>
    <xf numFmtId="4" fontId="6" fillId="4" borderId="4" xfId="0" applyNumberFormat="1" applyFont="1" applyFill="1" applyBorder="1"/>
    <xf numFmtId="4" fontId="2" fillId="4" borderId="4" xfId="0" applyNumberFormat="1" applyFont="1" applyFill="1" applyBorder="1"/>
    <xf numFmtId="4" fontId="2" fillId="4" borderId="8" xfId="0" applyNumberFormat="1" applyFont="1" applyFill="1" applyBorder="1"/>
    <xf numFmtId="4" fontId="2" fillId="4" borderId="10" xfId="0" applyNumberFormat="1" applyFont="1" applyFill="1" applyBorder="1"/>
    <xf numFmtId="4" fontId="2" fillId="4" borderId="12" xfId="0" applyNumberFormat="1" applyFont="1" applyFill="1" applyBorder="1"/>
    <xf numFmtId="43" fontId="2" fillId="4" borderId="8" xfId="0" applyNumberFormat="1" applyFont="1" applyFill="1" applyBorder="1"/>
    <xf numFmtId="0" fontId="7" fillId="0" borderId="1" xfId="0" applyFont="1" applyBorder="1" applyAlignment="1">
      <alignment horizontal="center"/>
    </xf>
    <xf numFmtId="4" fontId="1" fillId="4" borderId="0" xfId="0" applyNumberFormat="1" applyFont="1" applyFill="1"/>
    <xf numFmtId="4" fontId="1" fillId="6" borderId="0" xfId="0" applyNumberFormat="1" applyFont="1" applyFill="1"/>
    <xf numFmtId="0" fontId="1" fillId="0" borderId="0" xfId="0" applyFont="1"/>
    <xf numFmtId="39" fontId="18" fillId="2" borderId="10" xfId="0" applyNumberFormat="1" applyFont="1" applyFill="1" applyBorder="1"/>
    <xf numFmtId="39" fontId="18" fillId="2" borderId="12" xfId="0" applyNumberFormat="1" applyFont="1" applyFill="1" applyBorder="1"/>
    <xf numFmtId="0" fontId="3" fillId="0" borderId="0" xfId="0" applyFont="1" applyFill="1" applyBorder="1" applyAlignment="1">
      <alignment horizontal="center"/>
    </xf>
    <xf numFmtId="4" fontId="23" fillId="0" borderId="0" xfId="0" applyNumberFormat="1" applyFont="1"/>
    <xf numFmtId="164" fontId="6" fillId="7" borderId="0" xfId="1" applyNumberFormat="1" applyFont="1" applyFill="1" applyBorder="1"/>
    <xf numFmtId="0" fontId="6" fillId="7" borderId="0" xfId="0" applyFont="1" applyFill="1" applyBorder="1"/>
    <xf numFmtId="0" fontId="2" fillId="7" borderId="0" xfId="0" applyFont="1" applyFill="1" applyBorder="1"/>
    <xf numFmtId="164" fontId="4" fillId="0" borderId="6" xfId="1" applyNumberFormat="1" applyFont="1" applyBorder="1" applyAlignment="1">
      <alignment horizontal="center"/>
    </xf>
    <xf numFmtId="4" fontId="23" fillId="0" borderId="0" xfId="0" applyNumberFormat="1" applyFont="1" applyBorder="1"/>
    <xf numFmtId="164" fontId="7" fillId="3" borderId="3" xfId="1" applyNumberFormat="1" applyFont="1" applyFill="1" applyBorder="1" applyAlignment="1">
      <alignment horizontal="center"/>
    </xf>
    <xf numFmtId="43" fontId="7" fillId="3" borderId="13" xfId="1" applyNumberFormat="1" applyFont="1" applyFill="1" applyBorder="1"/>
    <xf numFmtId="43" fontId="1" fillId="3" borderId="13" xfId="1" applyNumberFormat="1" applyFont="1" applyFill="1" applyBorder="1"/>
    <xf numFmtId="43" fontId="7" fillId="3" borderId="13" xfId="1" applyNumberFormat="1" applyFont="1" applyFill="1" applyBorder="1" applyAlignment="1">
      <alignment horizontal="right"/>
    </xf>
    <xf numFmtId="17" fontId="7" fillId="4" borderId="3" xfId="1" applyNumberFormat="1" applyFont="1" applyFill="1" applyBorder="1" applyAlignment="1">
      <alignment horizontal="center"/>
    </xf>
    <xf numFmtId="43" fontId="7" fillId="4" borderId="13" xfId="1" applyNumberFormat="1" applyFont="1" applyFill="1" applyBorder="1"/>
    <xf numFmtId="43" fontId="1" fillId="4" borderId="13" xfId="1" applyNumberFormat="1" applyFont="1" applyFill="1" applyBorder="1"/>
    <xf numFmtId="43" fontId="7" fillId="3" borderId="3" xfId="1" applyNumberFormat="1" applyFont="1" applyFill="1" applyBorder="1"/>
    <xf numFmtId="164" fontId="6" fillId="3" borderId="0" xfId="1" applyNumberFormat="1" applyFont="1" applyFill="1"/>
    <xf numFmtId="164" fontId="7" fillId="4" borderId="15" xfId="1" applyNumberFormat="1" applyFont="1" applyFill="1" applyBorder="1"/>
    <xf numFmtId="164" fontId="7" fillId="4" borderId="13" xfId="1" applyNumberFormat="1" applyFont="1" applyFill="1" applyBorder="1"/>
    <xf numFmtId="164" fontId="7" fillId="3" borderId="1" xfId="1" applyNumberFormat="1" applyFont="1" applyFill="1" applyBorder="1"/>
    <xf numFmtId="0" fontId="12" fillId="3" borderId="4" xfId="0" applyFont="1" applyFill="1" applyBorder="1" applyAlignment="1">
      <alignment horizontal="center"/>
    </xf>
    <xf numFmtId="164" fontId="7" fillId="3" borderId="15" xfId="1" applyNumberFormat="1" applyFont="1" applyFill="1" applyBorder="1" applyAlignment="1">
      <alignment horizontal="center"/>
    </xf>
    <xf numFmtId="164" fontId="6" fillId="3" borderId="13" xfId="1" applyNumberFormat="1" applyFont="1" applyFill="1" applyBorder="1"/>
    <xf numFmtId="164" fontId="7" fillId="4" borderId="15" xfId="0" applyNumberFormat="1" applyFont="1" applyFill="1" applyBorder="1"/>
    <xf numFmtId="164" fontId="7" fillId="3" borderId="15" xfId="1" applyNumberFormat="1" applyFont="1" applyFill="1" applyBorder="1"/>
    <xf numFmtId="164" fontId="7" fillId="3" borderId="13" xfId="1" applyNumberFormat="1" applyFont="1" applyFill="1" applyBorder="1"/>
    <xf numFmtId="164" fontId="7" fillId="3" borderId="3" xfId="1" applyNumberFormat="1" applyFont="1" applyFill="1" applyBorder="1"/>
    <xf numFmtId="164" fontId="6" fillId="3" borderId="15" xfId="0" applyNumberFormat="1" applyFont="1" applyFill="1" applyBorder="1"/>
    <xf numFmtId="164" fontId="6" fillId="3" borderId="13" xfId="0" applyNumberFormat="1" applyFont="1" applyFill="1" applyBorder="1"/>
    <xf numFmtId="164" fontId="6" fillId="3" borderId="14" xfId="1" applyNumberFormat="1" applyFont="1" applyFill="1" applyBorder="1"/>
    <xf numFmtId="164" fontId="6" fillId="3" borderId="2" xfId="1" applyNumberFormat="1" applyFont="1" applyFill="1" applyBorder="1"/>
    <xf numFmtId="39" fontId="18" fillId="2" borderId="0" xfId="0" applyNumberFormat="1" applyFont="1" applyFill="1" applyBorder="1" applyAlignment="1">
      <alignment horizontal="right"/>
    </xf>
    <xf numFmtId="39" fontId="18" fillId="2" borderId="10" xfId="0" applyNumberFormat="1" applyFont="1" applyFill="1" applyBorder="1" applyAlignment="1">
      <alignment horizontal="right"/>
    </xf>
    <xf numFmtId="164" fontId="28" fillId="0" borderId="0" xfId="1" applyNumberFormat="1" applyFont="1" applyBorder="1"/>
    <xf numFmtId="164" fontId="29" fillId="0" borderId="0" xfId="1" applyNumberFormat="1" applyFont="1"/>
    <xf numFmtId="0" fontId="29" fillId="0" borderId="0" xfId="0" applyFont="1"/>
    <xf numFmtId="43" fontId="29" fillId="0" borderId="0" xfId="1" applyNumberFormat="1" applyFont="1"/>
    <xf numFmtId="43" fontId="29" fillId="0" borderId="0" xfId="0" applyNumberFormat="1" applyFont="1"/>
    <xf numFmtId="39" fontId="18" fillId="2" borderId="0" xfId="0" applyNumberFormat="1" applyFont="1" applyFill="1" applyBorder="1" applyAlignment="1"/>
    <xf numFmtId="0" fontId="16" fillId="0" borderId="0" xfId="0" applyFont="1" applyAlignment="1">
      <alignment wrapText="1"/>
    </xf>
    <xf numFmtId="0" fontId="22" fillId="0" borderId="0" xfId="0" applyFont="1" applyBorder="1" applyAlignment="1">
      <alignment wrapText="1"/>
    </xf>
    <xf numFmtId="20" fontId="4" fillId="0" borderId="0" xfId="0" applyNumberFormat="1" applyFont="1" applyAlignment="1">
      <alignment wrapText="1"/>
    </xf>
    <xf numFmtId="0" fontId="7" fillId="0" borderId="0" xfId="0" applyFont="1" applyAlignment="1">
      <alignment wrapText="1"/>
    </xf>
    <xf numFmtId="0" fontId="6" fillId="0" borderId="0" xfId="0" applyFont="1" applyAlignment="1">
      <alignment wrapText="1"/>
    </xf>
    <xf numFmtId="0" fontId="25" fillId="0" borderId="0" xfId="0" applyFont="1" applyAlignment="1">
      <alignment wrapText="1"/>
    </xf>
    <xf numFmtId="0" fontId="21" fillId="0" borderId="0" xfId="0" applyFont="1" applyAlignment="1">
      <alignment wrapText="1"/>
    </xf>
    <xf numFmtId="0" fontId="9" fillId="0" borderId="0" xfId="0" applyFont="1" applyAlignment="1">
      <alignment wrapText="1"/>
    </xf>
    <xf numFmtId="0" fontId="2" fillId="0" borderId="0" xfId="0" applyFont="1" applyAlignment="1">
      <alignment wrapText="1"/>
    </xf>
    <xf numFmtId="0" fontId="12" fillId="0" borderId="2" xfId="0" applyFont="1" applyBorder="1" applyAlignment="1">
      <alignment horizontal="center" wrapText="1"/>
    </xf>
    <xf numFmtId="164" fontId="6" fillId="0" borderId="0" xfId="0" applyNumberFormat="1" applyFont="1" applyAlignment="1">
      <alignment wrapText="1"/>
    </xf>
    <xf numFmtId="0" fontId="6" fillId="0" borderId="2" xfId="0" applyFont="1" applyBorder="1" applyAlignment="1">
      <alignment wrapText="1"/>
    </xf>
    <xf numFmtId="0" fontId="11" fillId="0" borderId="0" xfId="0" applyFont="1" applyAlignment="1">
      <alignment wrapText="1"/>
    </xf>
    <xf numFmtId="0" fontId="28" fillId="0" borderId="0" xfId="0" applyFont="1" applyAlignment="1">
      <alignment wrapText="1"/>
    </xf>
    <xf numFmtId="0" fontId="0" fillId="0" borderId="0" xfId="0" applyAlignment="1">
      <alignment wrapText="1"/>
    </xf>
    <xf numFmtId="0" fontId="1" fillId="0" borderId="0" xfId="0" applyFont="1" applyAlignment="1">
      <alignment wrapText="1"/>
    </xf>
    <xf numFmtId="0" fontId="15" fillId="0" borderId="0" xfId="0" applyFont="1" applyAlignment="1">
      <alignment wrapText="1"/>
    </xf>
    <xf numFmtId="0" fontId="4" fillId="0" borderId="0" xfId="0" applyFont="1" applyBorder="1" applyAlignment="1">
      <alignment wrapText="1"/>
    </xf>
    <xf numFmtId="14" fontId="4" fillId="0" borderId="0" xfId="0" applyNumberFormat="1" applyFont="1" applyAlignment="1">
      <alignment wrapText="1"/>
    </xf>
    <xf numFmtId="0" fontId="6" fillId="0" borderId="0" xfId="0" applyNumberFormat="1" applyFont="1" applyAlignment="1">
      <alignment horizontal="right" wrapText="1"/>
    </xf>
    <xf numFmtId="0" fontId="24" fillId="0" borderId="0" xfId="0" applyNumberFormat="1" applyFont="1" applyAlignment="1">
      <alignment horizontal="left" wrapText="1"/>
    </xf>
    <xf numFmtId="0" fontId="20" fillId="0" borderId="0" xfId="0" applyNumberFormat="1" applyFont="1" applyAlignment="1">
      <alignment horizontal="left" wrapText="1"/>
    </xf>
    <xf numFmtId="0" fontId="4" fillId="0" borderId="5" xfId="0" applyFont="1" applyBorder="1" applyAlignment="1">
      <alignment wrapText="1"/>
    </xf>
    <xf numFmtId="0" fontId="4" fillId="5" borderId="5" xfId="0" applyFont="1" applyFill="1" applyBorder="1" applyAlignment="1">
      <alignment wrapText="1"/>
    </xf>
    <xf numFmtId="43" fontId="8" fillId="0" borderId="2" xfId="0" applyNumberFormat="1" applyFont="1" applyBorder="1" applyAlignment="1">
      <alignment horizontal="left" wrapText="1"/>
    </xf>
    <xf numFmtId="0" fontId="14" fillId="0" borderId="0" xfId="0" applyFont="1" applyAlignment="1">
      <alignment wrapText="1"/>
    </xf>
    <xf numFmtId="164" fontId="13" fillId="0" borderId="1" xfId="1" applyNumberFormat="1" applyFont="1" applyBorder="1" applyAlignment="1">
      <alignment wrapText="1"/>
    </xf>
    <xf numFmtId="0" fontId="1" fillId="0" borderId="2" xfId="0" applyFont="1" applyBorder="1" applyAlignment="1">
      <alignment wrapText="1"/>
    </xf>
    <xf numFmtId="0" fontId="13" fillId="0" borderId="1" xfId="0" applyFont="1" applyFill="1" applyBorder="1" applyAlignment="1">
      <alignment horizontal="left" wrapText="1"/>
    </xf>
    <xf numFmtId="164" fontId="7" fillId="3" borderId="24" xfId="1" applyNumberFormat="1" applyFont="1" applyFill="1" applyBorder="1"/>
    <xf numFmtId="164" fontId="7" fillId="4" borderId="25" xfId="1" applyNumberFormat="1" applyFont="1" applyFill="1" applyBorder="1"/>
    <xf numFmtId="43" fontId="7" fillId="0" borderId="17" xfId="1" applyNumberFormat="1" applyFont="1" applyBorder="1"/>
    <xf numFmtId="43" fontId="6" fillId="0" borderId="17" xfId="1" applyNumberFormat="1" applyFont="1" applyBorder="1"/>
    <xf numFmtId="43" fontId="2" fillId="0" borderId="17" xfId="1" applyNumberFormat="1" applyFont="1" applyBorder="1"/>
    <xf numFmtId="164" fontId="2" fillId="0" borderId="18" xfId="1" applyNumberFormat="1" applyFont="1" applyBorder="1"/>
    <xf numFmtId="164" fontId="6" fillId="3" borderId="19" xfId="1" applyNumberFormat="1" applyFont="1" applyFill="1" applyBorder="1"/>
    <xf numFmtId="164" fontId="2" fillId="0" borderId="0" xfId="1" applyNumberFormat="1" applyFont="1" applyBorder="1"/>
    <xf numFmtId="164" fontId="2" fillId="0" borderId="20" xfId="1" applyNumberFormat="1" applyFont="1" applyBorder="1"/>
    <xf numFmtId="2" fontId="6" fillId="0" borderId="0" xfId="0" applyNumberFormat="1" applyFont="1" applyBorder="1"/>
    <xf numFmtId="4" fontId="6" fillId="0" borderId="0" xfId="1" applyNumberFormat="1" applyFont="1" applyBorder="1"/>
    <xf numFmtId="4" fontId="2" fillId="0" borderId="0" xfId="1" applyNumberFormat="1" applyFont="1" applyBorder="1"/>
    <xf numFmtId="4" fontId="2" fillId="0" borderId="20" xfId="1" applyNumberFormat="1" applyFont="1" applyBorder="1"/>
    <xf numFmtId="164" fontId="6" fillId="3" borderId="21" xfId="1" applyNumberFormat="1" applyFont="1" applyFill="1" applyBorder="1"/>
    <xf numFmtId="164" fontId="6" fillId="0" borderId="22" xfId="1" applyNumberFormat="1" applyFont="1" applyBorder="1"/>
    <xf numFmtId="43" fontId="6" fillId="0" borderId="22" xfId="1" applyNumberFormat="1" applyFont="1" applyBorder="1"/>
    <xf numFmtId="43" fontId="13" fillId="0" borderId="22" xfId="1" applyNumberFormat="1" applyFont="1" applyBorder="1"/>
    <xf numFmtId="43" fontId="5" fillId="0" borderId="22" xfId="1" applyNumberFormat="1" applyFont="1" applyBorder="1"/>
    <xf numFmtId="43" fontId="5" fillId="0" borderId="23" xfId="1" applyNumberFormat="1" applyFont="1" applyBorder="1"/>
    <xf numFmtId="164" fontId="7" fillId="3" borderId="0" xfId="1" applyNumberFormat="1" applyFont="1" applyFill="1" applyBorder="1"/>
    <xf numFmtId="0" fontId="4" fillId="0" borderId="16" xfId="0" applyFont="1" applyBorder="1" applyAlignment="1">
      <alignment wrapText="1"/>
    </xf>
    <xf numFmtId="0" fontId="6" fillId="0" borderId="17" xfId="0" applyFont="1" applyBorder="1" applyAlignment="1">
      <alignment wrapText="1"/>
    </xf>
    <xf numFmtId="0" fontId="6" fillId="0" borderId="19" xfId="0" applyFont="1" applyBorder="1" applyAlignment="1">
      <alignment wrapText="1"/>
    </xf>
    <xf numFmtId="0" fontId="6" fillId="0" borderId="0" xfId="0" applyFont="1" applyBorder="1" applyAlignment="1">
      <alignment wrapText="1"/>
    </xf>
    <xf numFmtId="0" fontId="9" fillId="0" borderId="19" xfId="0" applyFont="1" applyBorder="1" applyAlignment="1">
      <alignment wrapText="1"/>
    </xf>
    <xf numFmtId="0" fontId="6" fillId="0" borderId="0" xfId="0" applyFont="1" applyBorder="1" applyAlignment="1">
      <alignment horizontal="left" wrapText="1"/>
    </xf>
    <xf numFmtId="0" fontId="1" fillId="0" borderId="19" xfId="0" applyFont="1" applyBorder="1" applyAlignment="1">
      <alignment wrapText="1"/>
    </xf>
    <xf numFmtId="0" fontId="1" fillId="0" borderId="0" xfId="0" applyFont="1" applyBorder="1" applyAlignment="1">
      <alignment wrapText="1"/>
    </xf>
    <xf numFmtId="0" fontId="4" fillId="5" borderId="26" xfId="0" applyFont="1" applyFill="1" applyBorder="1" applyAlignment="1">
      <alignment wrapText="1"/>
    </xf>
    <xf numFmtId="0" fontId="13" fillId="0" borderId="27" xfId="0" applyFont="1" applyFill="1" applyBorder="1" applyAlignment="1">
      <alignment horizontal="left" wrapText="1"/>
    </xf>
    <xf numFmtId="164" fontId="7" fillId="3" borderId="28" xfId="1" applyNumberFormat="1" applyFont="1" applyFill="1" applyBorder="1"/>
    <xf numFmtId="164" fontId="7" fillId="0" borderId="28" xfId="1" applyNumberFormat="1" applyFont="1" applyBorder="1"/>
    <xf numFmtId="164" fontId="7" fillId="0" borderId="28" xfId="1" applyNumberFormat="1" applyFont="1" applyFill="1" applyBorder="1"/>
    <xf numFmtId="164" fontId="3" fillId="0" borderId="28" xfId="1" applyNumberFormat="1" applyFont="1" applyBorder="1"/>
    <xf numFmtId="164" fontId="3" fillId="0" borderId="23" xfId="1" applyNumberFormat="1" applyFont="1" applyBorder="1"/>
    <xf numFmtId="0" fontId="30" fillId="0" borderId="0" xfId="0" applyFont="1" applyAlignment="1"/>
    <xf numFmtId="0" fontId="2" fillId="5" borderId="3" xfId="0" applyFont="1" applyFill="1" applyBorder="1" applyAlignment="1"/>
    <xf numFmtId="0" fontId="1" fillId="0" borderId="0" xfId="0" applyFont="1" applyAlignment="1"/>
    <xf numFmtId="0" fontId="0" fillId="0" borderId="0" xfId="0" applyAlignment="1"/>
    <xf numFmtId="164" fontId="2" fillId="0" borderId="0" xfId="1" applyNumberFormat="1" applyFont="1" applyAlignment="1"/>
    <xf numFmtId="0" fontId="2" fillId="0" borderId="0" xfId="0" applyFont="1" applyAlignment="1"/>
    <xf numFmtId="0" fontId="2" fillId="4" borderId="3" xfId="0" applyFont="1" applyFill="1" applyBorder="1" applyAlignment="1"/>
    <xf numFmtId="0" fontId="6" fillId="0" borderId="0" xfId="0" applyFont="1" applyAlignment="1"/>
    <xf numFmtId="4" fontId="6" fillId="6" borderId="3" xfId="0" applyNumberFormat="1" applyFont="1" applyFill="1" applyBorder="1" applyAlignment="1"/>
    <xf numFmtId="0" fontId="4" fillId="0" borderId="0" xfId="0" applyFont="1" applyAlignment="1"/>
    <xf numFmtId="0" fontId="31" fillId="0" borderId="16" xfId="0" applyFont="1" applyBorder="1" applyAlignment="1"/>
    <xf numFmtId="0" fontId="16" fillId="0" borderId="17" xfId="0" applyFont="1" applyBorder="1" applyAlignment="1"/>
    <xf numFmtId="164" fontId="31" fillId="0" borderId="17" xfId="1" applyNumberFormat="1" applyFont="1" applyBorder="1" applyAlignment="1"/>
    <xf numFmtId="0" fontId="31" fillId="0" borderId="17" xfId="0" applyFont="1" applyBorder="1" applyAlignment="1"/>
    <xf numFmtId="0" fontId="31" fillId="0" borderId="18" xfId="0" applyFont="1" applyBorder="1" applyAlignment="1"/>
    <xf numFmtId="0" fontId="16" fillId="0" borderId="0" xfId="0" applyFont="1" applyBorder="1" applyAlignment="1"/>
    <xf numFmtId="0" fontId="31" fillId="0" borderId="0" xfId="0" applyFont="1" applyBorder="1" applyAlignment="1"/>
    <xf numFmtId="0" fontId="31" fillId="0" borderId="19" xfId="0" applyFont="1" applyBorder="1" applyAlignment="1"/>
    <xf numFmtId="164" fontId="31" fillId="0" borderId="0" xfId="1" applyNumberFormat="1" applyFont="1" applyBorder="1" applyAlignment="1"/>
    <xf numFmtId="0" fontId="31" fillId="0" borderId="20" xfId="0" applyFont="1" applyBorder="1" applyAlignment="1"/>
    <xf numFmtId="0" fontId="31" fillId="0" borderId="21" xfId="0" applyFont="1" applyBorder="1" applyAlignment="1"/>
    <xf numFmtId="0" fontId="16" fillId="0" borderId="22" xfId="0" applyFont="1" applyBorder="1" applyAlignment="1"/>
    <xf numFmtId="164" fontId="31" fillId="0" borderId="22" xfId="1" applyNumberFormat="1" applyFont="1" applyBorder="1" applyAlignment="1"/>
    <xf numFmtId="0" fontId="31" fillId="0" borderId="22" xfId="0" applyFont="1" applyBorder="1" applyAlignment="1"/>
    <xf numFmtId="0" fontId="31" fillId="0" borderId="23" xfId="0" applyFont="1" applyBorder="1" applyAlignment="1"/>
    <xf numFmtId="0" fontId="27" fillId="0" borderId="0" xfId="0" applyFont="1" applyAlignment="1"/>
    <xf numFmtId="4" fontId="6" fillId="0" borderId="0" xfId="0" applyNumberFormat="1" applyFont="1" applyFill="1" applyBorder="1" applyAlignment="1"/>
    <xf numFmtId="0" fontId="15" fillId="0" borderId="0" xfId="0" applyFont="1" applyAlignment="1"/>
    <xf numFmtId="0" fontId="4" fillId="0" borderId="5" xfId="0" applyFont="1" applyFill="1" applyBorder="1" applyAlignment="1">
      <alignment wrapText="1"/>
    </xf>
    <xf numFmtId="0" fontId="4" fillId="0" borderId="26" xfId="0" applyFont="1" applyFill="1" applyBorder="1" applyAlignment="1">
      <alignment wrapText="1"/>
    </xf>
    <xf numFmtId="0" fontId="20" fillId="0" borderId="0" xfId="0" applyNumberFormat="1" applyFont="1" applyFill="1" applyAlignment="1">
      <alignment horizontal="left" wrapText="1"/>
    </xf>
    <xf numFmtId="0" fontId="21" fillId="0" borderId="0" xfId="0" applyFont="1" applyFill="1" applyAlignment="1">
      <alignment wrapText="1"/>
    </xf>
    <xf numFmtId="43" fontId="6" fillId="7" borderId="0" xfId="1" applyNumberFormat="1" applyFont="1" applyFill="1" applyBorder="1"/>
    <xf numFmtId="43" fontId="1" fillId="7" borderId="0" xfId="1" applyNumberFormat="1" applyFont="1" applyFill="1" applyBorder="1"/>
    <xf numFmtId="0" fontId="4" fillId="8" borderId="5" xfId="0" applyFont="1" applyFill="1" applyBorder="1" applyAlignment="1">
      <alignment horizontal="center"/>
    </xf>
    <xf numFmtId="43" fontId="6" fillId="8" borderId="0" xfId="0" applyNumberFormat="1" applyFont="1" applyFill="1"/>
    <xf numFmtId="4" fontId="6" fillId="8" borderId="0" xfId="0" applyNumberFormat="1" applyFont="1" applyFill="1"/>
    <xf numFmtId="4" fontId="1" fillId="8" borderId="0" xfId="0" applyNumberFormat="1" applyFont="1" applyFill="1"/>
    <xf numFmtId="4" fontId="10" fillId="8" borderId="3" xfId="1" applyNumberFormat="1" applyFont="1" applyFill="1" applyBorder="1"/>
    <xf numFmtId="2" fontId="6" fillId="8" borderId="0" xfId="1" applyNumberFormat="1" applyFont="1" applyFill="1" applyBorder="1"/>
    <xf numFmtId="164" fontId="7" fillId="8" borderId="5" xfId="1" applyNumberFormat="1" applyFont="1" applyFill="1" applyBorder="1" applyAlignment="1">
      <alignment horizontal="center"/>
    </xf>
    <xf numFmtId="0" fontId="4" fillId="8" borderId="6" xfId="0" applyFont="1" applyFill="1" applyBorder="1" applyAlignment="1">
      <alignment horizontal="center"/>
    </xf>
    <xf numFmtId="4" fontId="2" fillId="8" borderId="7" xfId="0" applyNumberFormat="1" applyFont="1" applyFill="1" applyBorder="1"/>
    <xf numFmtId="4" fontId="2" fillId="8" borderId="9" xfId="0" applyNumberFormat="1" applyFont="1" applyFill="1" applyBorder="1"/>
    <xf numFmtId="4" fontId="2" fillId="8" borderId="11" xfId="0" applyNumberFormat="1" applyFont="1" applyFill="1" applyBorder="1"/>
    <xf numFmtId="4" fontId="7" fillId="8" borderId="3" xfId="1" applyNumberFormat="1" applyFont="1" applyFill="1" applyBorder="1"/>
    <xf numFmtId="4" fontId="6" fillId="8" borderId="7" xfId="0" applyNumberFormat="1" applyFont="1" applyFill="1" applyBorder="1"/>
    <xf numFmtId="4" fontId="6" fillId="8" borderId="9" xfId="0" applyNumberFormat="1" applyFont="1" applyFill="1" applyBorder="1"/>
    <xf numFmtId="4" fontId="6" fillId="8" borderId="9" xfId="1" applyNumberFormat="1" applyFont="1" applyFill="1" applyBorder="1"/>
    <xf numFmtId="4" fontId="9" fillId="8" borderId="9" xfId="0" applyNumberFormat="1" applyFont="1" applyFill="1" applyBorder="1"/>
    <xf numFmtId="4" fontId="6" fillId="8" borderId="11" xfId="1" applyNumberFormat="1" applyFont="1" applyFill="1" applyBorder="1"/>
    <xf numFmtId="4" fontId="7" fillId="8" borderId="1" xfId="1" applyNumberFormat="1" applyFont="1" applyFill="1" applyBorder="1"/>
    <xf numFmtId="164" fontId="7" fillId="8" borderId="28" xfId="1" applyNumberFormat="1" applyFont="1" applyFill="1" applyBorder="1"/>
    <xf numFmtId="4" fontId="6" fillId="8" borderId="4" xfId="0" applyNumberFormat="1" applyFont="1" applyFill="1" applyBorder="1"/>
    <xf numFmtId="4" fontId="2" fillId="8" borderId="0" xfId="0" applyNumberFormat="1" applyFont="1" applyFill="1" applyBorder="1"/>
    <xf numFmtId="4" fontId="6" fillId="8" borderId="0" xfId="0" applyNumberFormat="1" applyFont="1" applyFill="1" applyBorder="1"/>
    <xf numFmtId="4" fontId="6" fillId="8" borderId="0" xfId="1" applyNumberFormat="1" applyFont="1" applyFill="1" applyBorder="1"/>
    <xf numFmtId="4" fontId="9" fillId="8" borderId="0" xfId="0" applyNumberFormat="1" applyFont="1" applyFill="1" applyBorder="1"/>
    <xf numFmtId="4" fontId="6" fillId="8" borderId="2" xfId="1" applyNumberFormat="1" applyFont="1" applyFill="1" applyBorder="1"/>
    <xf numFmtId="164" fontId="7" fillId="8" borderId="6" xfId="1" applyNumberFormat="1" applyFont="1" applyFill="1" applyBorder="1" applyAlignment="1">
      <alignment horizontal="center"/>
    </xf>
    <xf numFmtId="4" fontId="2" fillId="8" borderId="4" xfId="0" applyNumberFormat="1" applyFont="1" applyFill="1" applyBorder="1"/>
    <xf numFmtId="4" fontId="2" fillId="8" borderId="2" xfId="0" applyNumberFormat="1" applyFont="1" applyFill="1" applyBorder="1"/>
    <xf numFmtId="2" fontId="6" fillId="7" borderId="0" xfId="1" applyNumberFormat="1" applyFont="1" applyFill="1" applyBorder="1"/>
    <xf numFmtId="4" fontId="6" fillId="8" borderId="2" xfId="0" applyNumberFormat="1" applyFont="1" applyFill="1" applyBorder="1"/>
    <xf numFmtId="164" fontId="7" fillId="9" borderId="3" xfId="1" applyNumberFormat="1" applyFont="1" applyFill="1" applyBorder="1"/>
    <xf numFmtId="0" fontId="26" fillId="0" borderId="0" xfId="0" applyFont="1" applyAlignment="1">
      <alignment horizontal="left"/>
    </xf>
  </cellXfs>
  <cellStyles count="2">
    <cellStyle name="Comma" xfId="1" builtinId="3"/>
    <cellStyle name="Normal" xfId="0" builtinId="0"/>
  </cellStyles>
  <dxfs count="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110"/>
  <sheetViews>
    <sheetView showGridLines="0" tabSelected="1" zoomScaleNormal="100" workbookViewId="0">
      <selection activeCell="F3" sqref="F3"/>
    </sheetView>
  </sheetViews>
  <sheetFormatPr defaultRowHeight="12.75" x14ac:dyDescent="0.2"/>
  <cols>
    <col min="1" max="1" width="18.140625" style="109" customWidth="1"/>
    <col min="2" max="2" width="30.42578125" style="109" customWidth="1"/>
    <col min="3" max="3" width="17.7109375" style="2" bestFit="1" customWidth="1"/>
    <col min="4" max="4" width="19.7109375" style="2" bestFit="1" customWidth="1"/>
    <col min="5" max="5" width="15.85546875" style="2" bestFit="1" customWidth="1"/>
    <col min="6" max="6" width="14.7109375" style="2" bestFit="1" customWidth="1"/>
    <col min="7" max="7" width="13.7109375" style="2" bestFit="1" customWidth="1"/>
    <col min="8" max="8" width="17" style="2" customWidth="1"/>
    <col min="9" max="13" width="17.42578125" style="1" bestFit="1" customWidth="1"/>
    <col min="14" max="16" width="16.140625" style="1" bestFit="1" customWidth="1"/>
    <col min="17" max="17" width="15" bestFit="1" customWidth="1"/>
    <col min="18" max="30" width="9.140625" customWidth="1"/>
    <col min="31" max="16384" width="9.140625" style="1"/>
  </cols>
  <sheetData>
    <row r="1" spans="1:30" ht="15.75" x14ac:dyDescent="0.25">
      <c r="A1" s="230" t="s">
        <v>122</v>
      </c>
      <c r="B1" s="230"/>
      <c r="C1" s="230"/>
      <c r="D1" s="230"/>
      <c r="E1" s="230"/>
      <c r="F1" s="230"/>
      <c r="G1" s="230"/>
      <c r="H1" s="230"/>
      <c r="I1" s="230"/>
      <c r="J1" s="230"/>
      <c r="K1" s="230"/>
      <c r="L1" s="230"/>
    </row>
    <row r="2" spans="1:30" ht="15.75" x14ac:dyDescent="0.25">
      <c r="A2" s="192" t="s">
        <v>57</v>
      </c>
      <c r="B2" s="101"/>
      <c r="C2" s="32"/>
      <c r="D2" s="32"/>
      <c r="E2" s="32"/>
      <c r="F2" s="32"/>
      <c r="G2" s="32"/>
      <c r="H2" s="32"/>
      <c r="I2" s="31"/>
      <c r="J2" s="31"/>
      <c r="K2" s="31"/>
      <c r="L2" s="31"/>
    </row>
    <row r="3" spans="1:30" ht="15.75" x14ac:dyDescent="0.25">
      <c r="A3" s="117"/>
      <c r="B3" s="101"/>
      <c r="C3" s="32"/>
      <c r="D3" s="32"/>
      <c r="E3" s="32"/>
      <c r="F3" s="32"/>
      <c r="G3" s="32"/>
      <c r="H3" s="32"/>
      <c r="I3" s="31"/>
      <c r="J3" s="31"/>
      <c r="K3" s="31"/>
      <c r="L3" s="31"/>
    </row>
    <row r="4" spans="1:30" ht="15.75" x14ac:dyDescent="0.25">
      <c r="A4" s="117"/>
      <c r="B4" s="101"/>
      <c r="C4" s="43" t="s">
        <v>18</v>
      </c>
      <c r="D4" s="44" t="s">
        <v>24</v>
      </c>
      <c r="E4" s="44" t="s">
        <v>7</v>
      </c>
      <c r="F4" s="44" t="s">
        <v>8</v>
      </c>
      <c r="G4" s="44" t="s">
        <v>9</v>
      </c>
      <c r="H4" s="44" t="s">
        <v>10</v>
      </c>
      <c r="I4" s="38" t="s">
        <v>2</v>
      </c>
      <c r="J4" s="38" t="s">
        <v>3</v>
      </c>
      <c r="K4" s="38" t="s">
        <v>4</v>
      </c>
      <c r="L4" s="38" t="s">
        <v>5</v>
      </c>
      <c r="M4" s="47" t="s">
        <v>12</v>
      </c>
      <c r="N4" s="47" t="s">
        <v>13</v>
      </c>
      <c r="O4" s="47" t="s">
        <v>14</v>
      </c>
      <c r="P4" s="48" t="s">
        <v>15</v>
      </c>
    </row>
    <row r="5" spans="1:30" x14ac:dyDescent="0.2">
      <c r="A5" s="118" t="s">
        <v>60</v>
      </c>
      <c r="B5" s="102"/>
      <c r="C5" s="197">
        <v>78.5</v>
      </c>
      <c r="D5" s="198">
        <v>78.5</v>
      </c>
      <c r="E5" s="204">
        <v>70</v>
      </c>
      <c r="F5" s="204">
        <v>70</v>
      </c>
      <c r="G5" s="204">
        <v>73</v>
      </c>
      <c r="H5" s="227">
        <v>0</v>
      </c>
      <c r="I5" s="227">
        <v>0</v>
      </c>
      <c r="J5" s="66">
        <v>0</v>
      </c>
      <c r="K5" s="66">
        <v>0</v>
      </c>
      <c r="L5" s="66">
        <v>0</v>
      </c>
      <c r="M5" s="67">
        <v>0</v>
      </c>
      <c r="N5" s="67">
        <v>0</v>
      </c>
      <c r="O5" s="67">
        <v>0</v>
      </c>
      <c r="P5" s="67">
        <v>0</v>
      </c>
    </row>
    <row r="6" spans="1:30" x14ac:dyDescent="0.2">
      <c r="A6" s="119" t="s">
        <v>59</v>
      </c>
      <c r="B6" s="103" t="s">
        <v>123</v>
      </c>
      <c r="C6" s="43" t="s">
        <v>18</v>
      </c>
      <c r="D6" s="44" t="s">
        <v>24</v>
      </c>
      <c r="E6" s="68" t="s">
        <v>70</v>
      </c>
      <c r="F6" s="68" t="s">
        <v>73</v>
      </c>
      <c r="G6" s="68" t="s">
        <v>77</v>
      </c>
      <c r="H6" s="68" t="s">
        <v>66</v>
      </c>
      <c r="I6" s="39" t="s">
        <v>74</v>
      </c>
      <c r="J6" s="39" t="s">
        <v>67</v>
      </c>
      <c r="K6" s="39" t="s">
        <v>68</v>
      </c>
      <c r="L6" s="39" t="s">
        <v>69</v>
      </c>
      <c r="M6" s="47" t="s">
        <v>75</v>
      </c>
      <c r="N6" s="47" t="s">
        <v>64</v>
      </c>
      <c r="O6" s="47" t="s">
        <v>76</v>
      </c>
      <c r="P6" s="48" t="s">
        <v>65</v>
      </c>
      <c r="Q6" s="63" t="s">
        <v>58</v>
      </c>
    </row>
    <row r="7" spans="1:30" x14ac:dyDescent="0.2">
      <c r="A7" s="105"/>
      <c r="B7" s="104"/>
      <c r="C7" s="70" t="s">
        <v>6</v>
      </c>
      <c r="D7" s="74" t="s">
        <v>44</v>
      </c>
      <c r="E7" s="199" t="s">
        <v>127</v>
      </c>
      <c r="F7" s="206" t="s">
        <v>127</v>
      </c>
      <c r="G7" s="206" t="s">
        <v>127</v>
      </c>
      <c r="H7" s="38" t="s">
        <v>19</v>
      </c>
      <c r="I7" s="38" t="s">
        <v>19</v>
      </c>
      <c r="J7" s="38" t="s">
        <v>19</v>
      </c>
      <c r="K7" s="38" t="s">
        <v>19</v>
      </c>
      <c r="L7" s="38" t="s">
        <v>19</v>
      </c>
      <c r="M7" s="38" t="s">
        <v>19</v>
      </c>
      <c r="N7" s="38" t="s">
        <v>19</v>
      </c>
      <c r="O7" s="38" t="s">
        <v>19</v>
      </c>
      <c r="P7" s="57" t="s">
        <v>19</v>
      </c>
    </row>
    <row r="8" spans="1:30" x14ac:dyDescent="0.2">
      <c r="A8" s="120"/>
      <c r="B8" s="105"/>
      <c r="C8" s="71"/>
      <c r="D8" s="75"/>
      <c r="E8" s="200"/>
      <c r="F8" s="200"/>
      <c r="G8" s="200"/>
      <c r="H8" s="33"/>
      <c r="I8" s="49"/>
      <c r="J8" s="33"/>
      <c r="K8" s="33"/>
      <c r="L8" s="33"/>
      <c r="M8" s="34"/>
      <c r="N8" s="34"/>
      <c r="O8" s="34"/>
      <c r="P8" s="56"/>
    </row>
    <row r="9" spans="1:30" x14ac:dyDescent="0.2">
      <c r="A9" s="121">
        <v>3100</v>
      </c>
      <c r="B9" s="106" t="s">
        <v>25</v>
      </c>
      <c r="C9" s="71">
        <v>2048138</v>
      </c>
      <c r="D9" s="75">
        <v>2048138</v>
      </c>
      <c r="E9" s="201">
        <v>184239.25</v>
      </c>
      <c r="F9" s="201">
        <v>163768.22</v>
      </c>
      <c r="G9" s="201">
        <v>102355.14</v>
      </c>
      <c r="H9" s="15">
        <f>SUM($D9*9%)</f>
        <v>184332.41999999998</v>
      </c>
      <c r="I9" s="50">
        <f>$D9*8.5%</f>
        <v>174091.73</v>
      </c>
      <c r="J9" s="15">
        <f>SUM($D9*9%)</f>
        <v>184332.41999999998</v>
      </c>
      <c r="K9" s="15">
        <f>SUM($D9*9%)</f>
        <v>184332.41999999998</v>
      </c>
      <c r="L9" s="15">
        <f>SUM($D9*9%)</f>
        <v>184332.41999999998</v>
      </c>
      <c r="M9" s="16">
        <f>SUM($D9*5%)</f>
        <v>102406.90000000001</v>
      </c>
      <c r="N9" s="16">
        <f>SUM($D9*6%)</f>
        <v>122888.28</v>
      </c>
      <c r="O9" s="100">
        <f>SUM($D9*12.5%)</f>
        <v>256017.25</v>
      </c>
      <c r="P9" s="61">
        <f>($D9-SUM($E9:O9))/1</f>
        <v>205041.55000000028</v>
      </c>
      <c r="Q9" s="64">
        <f>SUM(E9:P9)</f>
        <v>2048138</v>
      </c>
    </row>
    <row r="10" spans="1:30" x14ac:dyDescent="0.2">
      <c r="A10" s="121" t="s">
        <v>34</v>
      </c>
      <c r="B10" s="106" t="s">
        <v>26</v>
      </c>
      <c r="C10" s="71">
        <v>0</v>
      </c>
      <c r="D10" s="75">
        <v>0</v>
      </c>
      <c r="E10" s="201">
        <v>0</v>
      </c>
      <c r="F10" s="201">
        <v>0</v>
      </c>
      <c r="G10" s="201">
        <v>0</v>
      </c>
      <c r="H10" s="15">
        <f t="shared" ref="H10:H11" si="0">SUM($D10*9%)</f>
        <v>0</v>
      </c>
      <c r="I10" s="50">
        <f t="shared" ref="I10:I11" si="1">$D10*8.5%</f>
        <v>0</v>
      </c>
      <c r="J10" s="15">
        <f t="shared" ref="J10:L11" si="2">SUM($D10*9%)</f>
        <v>0</v>
      </c>
      <c r="K10" s="15">
        <f t="shared" si="2"/>
        <v>0</v>
      </c>
      <c r="L10" s="15">
        <f t="shared" si="2"/>
        <v>0</v>
      </c>
      <c r="M10" s="16">
        <f t="shared" ref="M10:M11" si="3">SUM($D10*5%)</f>
        <v>0</v>
      </c>
      <c r="N10" s="16">
        <f t="shared" ref="N10:N11" si="4">SUM($D10*6%)</f>
        <v>0</v>
      </c>
      <c r="O10" s="100">
        <f>SUM($D10*12.5%)</f>
        <v>0</v>
      </c>
      <c r="P10" s="61">
        <f>($D10-SUM($E10:O10))/1</f>
        <v>0</v>
      </c>
      <c r="Q10" s="64">
        <f t="shared" ref="Q10:Q45" si="5">SUM(E10:P10)</f>
        <v>0</v>
      </c>
    </row>
    <row r="11" spans="1:30" x14ac:dyDescent="0.2">
      <c r="A11" s="121">
        <v>3121</v>
      </c>
      <c r="B11" s="106" t="s">
        <v>27</v>
      </c>
      <c r="C11" s="71">
        <v>3968</v>
      </c>
      <c r="D11" s="75">
        <v>3968</v>
      </c>
      <c r="E11" s="201">
        <v>357.15</v>
      </c>
      <c r="F11" s="201">
        <v>317.45999999999998</v>
      </c>
      <c r="G11" s="201">
        <v>198.42</v>
      </c>
      <c r="H11" s="15">
        <f t="shared" si="0"/>
        <v>357.12</v>
      </c>
      <c r="I11" s="50">
        <f t="shared" si="1"/>
        <v>337.28000000000003</v>
      </c>
      <c r="J11" s="15">
        <f t="shared" si="2"/>
        <v>357.12</v>
      </c>
      <c r="K11" s="15">
        <f t="shared" si="2"/>
        <v>357.12</v>
      </c>
      <c r="L11" s="15">
        <f t="shared" si="2"/>
        <v>357.12</v>
      </c>
      <c r="M11" s="16">
        <f t="shared" si="3"/>
        <v>198.4</v>
      </c>
      <c r="N11" s="16">
        <f t="shared" si="4"/>
        <v>238.07999999999998</v>
      </c>
      <c r="O11" s="100">
        <f t="shared" ref="O11" si="6">SUM($D11*12.5%)</f>
        <v>496</v>
      </c>
      <c r="P11" s="61">
        <f>($D11-SUM($E11:O11))/1</f>
        <v>396.73000000000047</v>
      </c>
      <c r="Q11" s="64">
        <f t="shared" si="5"/>
        <v>3968</v>
      </c>
    </row>
    <row r="12" spans="1:30" x14ac:dyDescent="0.2">
      <c r="A12" s="121">
        <v>3300</v>
      </c>
      <c r="B12" s="106" t="s">
        <v>42</v>
      </c>
      <c r="C12" s="72">
        <v>0</v>
      </c>
      <c r="D12" s="76">
        <v>0</v>
      </c>
      <c r="E12" s="202">
        <v>0</v>
      </c>
      <c r="F12" s="202">
        <v>0</v>
      </c>
      <c r="G12" s="202">
        <v>0</v>
      </c>
      <c r="H12" s="58">
        <f>$D12*7.14%</f>
        <v>0</v>
      </c>
      <c r="I12" s="59">
        <f>$D12*0%</f>
        <v>0</v>
      </c>
      <c r="J12" s="58">
        <f>SUM($D12*0%)</f>
        <v>0</v>
      </c>
      <c r="K12" s="58">
        <f>SUM($D12*0%)</f>
        <v>0</v>
      </c>
      <c r="L12" s="58">
        <f>SUM($D12*0%)</f>
        <v>0</v>
      </c>
      <c r="M12" s="16">
        <f>SUM($D12*0%)</f>
        <v>0</v>
      </c>
      <c r="N12" s="16">
        <f>SUM($D12*0%)</f>
        <v>0</v>
      </c>
      <c r="O12" s="100">
        <f>($D12-SUM($E12:N12))/2</f>
        <v>0</v>
      </c>
      <c r="P12" s="61">
        <f>($D12-SUM($E12:O12))/1</f>
        <v>0</v>
      </c>
      <c r="Q12" s="64">
        <f t="shared" si="5"/>
        <v>0</v>
      </c>
      <c r="R12" s="60"/>
      <c r="S12" s="60"/>
      <c r="T12" s="60"/>
      <c r="U12" s="60"/>
      <c r="V12" s="60"/>
      <c r="W12" s="60"/>
      <c r="X12" s="60"/>
      <c r="Y12" s="60"/>
      <c r="Z12" s="60"/>
      <c r="AA12" s="60"/>
      <c r="AB12" s="60"/>
      <c r="AC12" s="60"/>
      <c r="AD12" s="60"/>
    </row>
    <row r="13" spans="1:30" x14ac:dyDescent="0.2">
      <c r="A13" s="121">
        <v>3300</v>
      </c>
      <c r="B13" s="106" t="s">
        <v>43</v>
      </c>
      <c r="C13" s="72">
        <v>0</v>
      </c>
      <c r="D13" s="76">
        <v>0</v>
      </c>
      <c r="E13" s="202">
        <v>0</v>
      </c>
      <c r="F13" s="202">
        <v>0</v>
      </c>
      <c r="G13" s="202">
        <v>0</v>
      </c>
      <c r="H13" s="58">
        <f>$D13*0%</f>
        <v>0</v>
      </c>
      <c r="I13" s="59">
        <f>$D13*0%</f>
        <v>0</v>
      </c>
      <c r="J13" s="58">
        <f>D13*0%</f>
        <v>0</v>
      </c>
      <c r="K13" s="58">
        <f>D13*0%</f>
        <v>0</v>
      </c>
      <c r="L13" s="58">
        <f>D13*41.67%</f>
        <v>0</v>
      </c>
      <c r="M13" s="16">
        <f>D13*31.94%</f>
        <v>0</v>
      </c>
      <c r="N13" s="16">
        <f>D13*2.78%</f>
        <v>0</v>
      </c>
      <c r="O13" s="100">
        <f>($D13-SUM($E13:N13))/2</f>
        <v>0</v>
      </c>
      <c r="P13" s="61">
        <f>($D13-SUM($E13:O13))/1</f>
        <v>0</v>
      </c>
      <c r="Q13" s="64">
        <f t="shared" si="5"/>
        <v>0</v>
      </c>
      <c r="R13" s="60"/>
      <c r="S13" s="60"/>
      <c r="T13" s="60"/>
      <c r="U13" s="60"/>
      <c r="V13" s="60"/>
      <c r="W13" s="60"/>
      <c r="X13" s="60"/>
      <c r="Y13" s="60"/>
      <c r="Z13" s="60"/>
      <c r="AA13" s="60"/>
      <c r="AB13" s="60"/>
      <c r="AC13" s="60"/>
      <c r="AD13" s="60"/>
    </row>
    <row r="14" spans="1:30" x14ac:dyDescent="0.2">
      <c r="A14" s="121">
        <v>4121</v>
      </c>
      <c r="B14" s="106" t="s">
        <v>28</v>
      </c>
      <c r="C14" s="71">
        <v>64090</v>
      </c>
      <c r="D14" s="75">
        <v>64090</v>
      </c>
      <c r="E14" s="201">
        <v>5768.54</v>
      </c>
      <c r="F14" s="201">
        <v>5127.6000000000004</v>
      </c>
      <c r="G14" s="201">
        <v>3204.75</v>
      </c>
      <c r="H14" s="15">
        <f>SUM($D14*9%)</f>
        <v>5768.0999999999995</v>
      </c>
      <c r="I14" s="50">
        <f>$D14*8.5%</f>
        <v>5447.6500000000005</v>
      </c>
      <c r="J14" s="15">
        <f>SUM($D14*9%)</f>
        <v>5768.0999999999995</v>
      </c>
      <c r="K14" s="15">
        <f>SUM($D14*9%)</f>
        <v>5768.0999999999995</v>
      </c>
      <c r="L14" s="15">
        <f>SUM($D14*9%)</f>
        <v>5768.0999999999995</v>
      </c>
      <c r="M14" s="16">
        <f>SUM($D14*5%)</f>
        <v>3204.5</v>
      </c>
      <c r="N14" s="16">
        <f>SUM($D14*6%)</f>
        <v>3845.3999999999996</v>
      </c>
      <c r="O14" s="100">
        <f>SUM($D14*12.5%)</f>
        <v>8011.25</v>
      </c>
      <c r="P14" s="61">
        <f>($D14-SUM($E14:O14))/1</f>
        <v>6407.9100000000035</v>
      </c>
      <c r="Q14" s="64">
        <f t="shared" si="5"/>
        <v>64090</v>
      </c>
    </row>
    <row r="15" spans="1:30" x14ac:dyDescent="0.2">
      <c r="A15" s="121">
        <v>4122</v>
      </c>
      <c r="B15" s="106" t="s">
        <v>62</v>
      </c>
      <c r="C15" s="71">
        <v>0</v>
      </c>
      <c r="D15" s="75">
        <v>0</v>
      </c>
      <c r="E15" s="201">
        <v>0</v>
      </c>
      <c r="F15" s="201">
        <v>0</v>
      </c>
      <c r="G15" s="201">
        <v>0</v>
      </c>
      <c r="H15" s="15">
        <f t="shared" ref="H15:H18" si="7">SUM($D15*9%)</f>
        <v>0</v>
      </c>
      <c r="I15" s="50">
        <f t="shared" ref="I15:I18" si="8">$D15*8.5%</f>
        <v>0</v>
      </c>
      <c r="J15" s="15">
        <f t="shared" ref="J15:L18" si="9">SUM($D15*9%)</f>
        <v>0</v>
      </c>
      <c r="K15" s="15">
        <f t="shared" si="9"/>
        <v>0</v>
      </c>
      <c r="L15" s="15">
        <f t="shared" si="9"/>
        <v>0</v>
      </c>
      <c r="M15" s="16">
        <f t="shared" ref="M15:M18" si="10">SUM($D15*5%)</f>
        <v>0</v>
      </c>
      <c r="N15" s="16">
        <f t="shared" ref="N15:N18" si="11">SUM($D15*6%)</f>
        <v>0</v>
      </c>
      <c r="O15" s="100">
        <f t="shared" ref="O15:O18" si="12">SUM($D15*12.5%)</f>
        <v>0</v>
      </c>
      <c r="P15" s="61">
        <f>($D15-SUM($E15:O15))/1</f>
        <v>0</v>
      </c>
      <c r="Q15" s="64">
        <f>SUM(E15:P15)</f>
        <v>0</v>
      </c>
    </row>
    <row r="16" spans="1:30" x14ac:dyDescent="0.2">
      <c r="A16" s="121">
        <v>4134</v>
      </c>
      <c r="B16" s="106" t="s">
        <v>49</v>
      </c>
      <c r="C16" s="71">
        <v>0</v>
      </c>
      <c r="D16" s="75">
        <v>0</v>
      </c>
      <c r="E16" s="201">
        <v>0</v>
      </c>
      <c r="F16" s="201">
        <v>0</v>
      </c>
      <c r="G16" s="201">
        <v>0</v>
      </c>
      <c r="H16" s="15">
        <f t="shared" si="7"/>
        <v>0</v>
      </c>
      <c r="I16" s="50">
        <f t="shared" si="8"/>
        <v>0</v>
      </c>
      <c r="J16" s="15">
        <f t="shared" si="9"/>
        <v>0</v>
      </c>
      <c r="K16" s="15">
        <f t="shared" si="9"/>
        <v>0</v>
      </c>
      <c r="L16" s="15">
        <f t="shared" si="9"/>
        <v>0</v>
      </c>
      <c r="M16" s="16">
        <f t="shared" si="10"/>
        <v>0</v>
      </c>
      <c r="N16" s="16">
        <f t="shared" si="11"/>
        <v>0</v>
      </c>
      <c r="O16" s="100">
        <f t="shared" si="12"/>
        <v>0</v>
      </c>
      <c r="P16" s="61">
        <f>($D16-SUM($E16:O16))/1</f>
        <v>0</v>
      </c>
      <c r="Q16" s="64">
        <f t="shared" si="5"/>
        <v>0</v>
      </c>
    </row>
    <row r="17" spans="1:17" x14ac:dyDescent="0.2">
      <c r="A17" s="121">
        <v>4155</v>
      </c>
      <c r="B17" s="106" t="s">
        <v>29</v>
      </c>
      <c r="C17" s="71">
        <v>61759</v>
      </c>
      <c r="D17" s="75">
        <v>61759</v>
      </c>
      <c r="E17" s="201">
        <v>5446.6</v>
      </c>
      <c r="F17" s="201">
        <v>4841.42</v>
      </c>
      <c r="G17" s="201">
        <v>3025.88</v>
      </c>
      <c r="H17" s="15">
        <f t="shared" si="7"/>
        <v>5558.3099999999995</v>
      </c>
      <c r="I17" s="50">
        <f t="shared" si="8"/>
        <v>5249.5150000000003</v>
      </c>
      <c r="J17" s="15">
        <f t="shared" si="9"/>
        <v>5558.3099999999995</v>
      </c>
      <c r="K17" s="15">
        <f t="shared" si="9"/>
        <v>5558.3099999999995</v>
      </c>
      <c r="L17" s="15">
        <f t="shared" si="9"/>
        <v>5558.3099999999995</v>
      </c>
      <c r="M17" s="16">
        <f t="shared" si="10"/>
        <v>3087.9500000000003</v>
      </c>
      <c r="N17" s="16">
        <f t="shared" si="11"/>
        <v>3705.54</v>
      </c>
      <c r="O17" s="100">
        <f t="shared" si="12"/>
        <v>7719.875</v>
      </c>
      <c r="P17" s="61">
        <f>($D17-SUM($E17:O17))/1</f>
        <v>6448.9800000000105</v>
      </c>
      <c r="Q17" s="64">
        <f t="shared" si="5"/>
        <v>61759</v>
      </c>
    </row>
    <row r="18" spans="1:17" x14ac:dyDescent="0.2">
      <c r="A18" s="121">
        <v>4156</v>
      </c>
      <c r="B18" s="106" t="s">
        <v>41</v>
      </c>
      <c r="C18" s="71">
        <v>0</v>
      </c>
      <c r="D18" s="75">
        <v>0</v>
      </c>
      <c r="E18" s="201">
        <v>0</v>
      </c>
      <c r="F18" s="201">
        <v>0</v>
      </c>
      <c r="G18" s="201">
        <v>0</v>
      </c>
      <c r="H18" s="15">
        <f t="shared" si="7"/>
        <v>0</v>
      </c>
      <c r="I18" s="50">
        <f t="shared" si="8"/>
        <v>0</v>
      </c>
      <c r="J18" s="15">
        <f t="shared" si="9"/>
        <v>0</v>
      </c>
      <c r="K18" s="15">
        <f t="shared" si="9"/>
        <v>0</v>
      </c>
      <c r="L18" s="15">
        <f t="shared" si="9"/>
        <v>0</v>
      </c>
      <c r="M18" s="16">
        <f t="shared" si="10"/>
        <v>0</v>
      </c>
      <c r="N18" s="16">
        <f t="shared" si="11"/>
        <v>0</v>
      </c>
      <c r="O18" s="100">
        <f t="shared" si="12"/>
        <v>0</v>
      </c>
      <c r="P18" s="61">
        <f>($D18-SUM($E18:O18))/1</f>
        <v>0</v>
      </c>
      <c r="Q18" s="64">
        <f t="shared" si="5"/>
        <v>0</v>
      </c>
    </row>
    <row r="19" spans="1:17" x14ac:dyDescent="0.2">
      <c r="A19" s="121" t="s">
        <v>22</v>
      </c>
      <c r="B19" s="106" t="s">
        <v>30</v>
      </c>
      <c r="C19" s="71">
        <v>0</v>
      </c>
      <c r="D19" s="75">
        <v>0</v>
      </c>
      <c r="E19" s="201">
        <v>0</v>
      </c>
      <c r="F19" s="201">
        <v>0</v>
      </c>
      <c r="G19" s="201">
        <v>0</v>
      </c>
      <c r="H19" s="15">
        <f>($D19-SUM($E19:G19))/9</f>
        <v>0</v>
      </c>
      <c r="I19" s="50">
        <f>($D19-SUM($E19:H19))/8</f>
        <v>0</v>
      </c>
      <c r="J19" s="15">
        <f>($D19-SUM($E19:I19))/7</f>
        <v>0</v>
      </c>
      <c r="K19" s="15">
        <f>($D19-SUM($E19:J19))/6</f>
        <v>0</v>
      </c>
      <c r="L19" s="15">
        <f>($D19-SUM($E19:K19))/5</f>
        <v>0</v>
      </c>
      <c r="M19" s="15">
        <f>($D19-SUM($E19:L19))/4</f>
        <v>0</v>
      </c>
      <c r="N19" s="15">
        <f>($D19-SUM($E19:M19))/3</f>
        <v>0</v>
      </c>
      <c r="O19" s="100">
        <f>($D19-SUM($E19:N19))/2</f>
        <v>0</v>
      </c>
      <c r="P19" s="61">
        <f>($D19-SUM($E19:O19))/1</f>
        <v>0</v>
      </c>
      <c r="Q19" s="64">
        <f t="shared" si="5"/>
        <v>0</v>
      </c>
    </row>
    <row r="20" spans="1:17" x14ac:dyDescent="0.2">
      <c r="A20" s="121" t="s">
        <v>23</v>
      </c>
      <c r="B20" s="106" t="s">
        <v>45</v>
      </c>
      <c r="C20" s="71">
        <v>0</v>
      </c>
      <c r="D20" s="75">
        <v>175480</v>
      </c>
      <c r="E20" s="201">
        <v>0</v>
      </c>
      <c r="F20" s="201">
        <v>0</v>
      </c>
      <c r="G20" s="201">
        <v>2811.94</v>
      </c>
      <c r="H20" s="15">
        <f>($D20-SUM($E20:G20))/9</f>
        <v>19185.34</v>
      </c>
      <c r="I20" s="50">
        <f>($D20-SUM($E20:H20))/8</f>
        <v>19185.34</v>
      </c>
      <c r="J20" s="15">
        <f>($D20-SUM($E20:I20))/7</f>
        <v>19185.34</v>
      </c>
      <c r="K20" s="15">
        <f>($D20-SUM($E20:J20))/6</f>
        <v>19185.34</v>
      </c>
      <c r="L20" s="15">
        <f>($D20-SUM($E20:K20))/5</f>
        <v>19185.340000000004</v>
      </c>
      <c r="M20" s="15">
        <f>($D20-SUM($E20:L20))/4</f>
        <v>19185.340000000004</v>
      </c>
      <c r="N20" s="15">
        <f>($D20-SUM($E20:M20))/3</f>
        <v>19185.340000000007</v>
      </c>
      <c r="O20" s="100">
        <f>($D20-SUM($E20:N20))/2</f>
        <v>19185.340000000011</v>
      </c>
      <c r="P20" s="61">
        <f>($D20-SUM($E20:O20))/1</f>
        <v>19185.340000000026</v>
      </c>
      <c r="Q20" s="64">
        <f t="shared" si="5"/>
        <v>175480</v>
      </c>
    </row>
    <row r="21" spans="1:17" x14ac:dyDescent="0.2">
      <c r="A21" s="121" t="s">
        <v>46</v>
      </c>
      <c r="B21" s="106" t="s">
        <v>47</v>
      </c>
      <c r="C21" s="71">
        <v>0</v>
      </c>
      <c r="D21" s="75">
        <v>0</v>
      </c>
      <c r="E21" s="201">
        <v>0</v>
      </c>
      <c r="F21" s="201">
        <v>0</v>
      </c>
      <c r="G21" s="201">
        <v>0</v>
      </c>
      <c r="H21" s="15">
        <f>($D21-SUM($E21:G21))/9</f>
        <v>0</v>
      </c>
      <c r="I21" s="50">
        <f>($D21-SUM($E21:H21))/8</f>
        <v>0</v>
      </c>
      <c r="J21" s="15">
        <f>($D21-SUM($E21:I21))/7</f>
        <v>0</v>
      </c>
      <c r="K21" s="15">
        <f>($D21-SUM($E21:J21))/6</f>
        <v>0</v>
      </c>
      <c r="L21" s="15">
        <f>($D21-SUM($E21:K21))/5</f>
        <v>0</v>
      </c>
      <c r="M21" s="15">
        <f>($D21-SUM($E21:L21))/4</f>
        <v>0</v>
      </c>
      <c r="N21" s="15">
        <f>($D21-SUM($E21:M21))/3</f>
        <v>0</v>
      </c>
      <c r="O21" s="100">
        <f>($D21-SUM($E21:N21))/2</f>
        <v>0</v>
      </c>
      <c r="P21" s="61">
        <f>($D21-SUM($E21:O21))/1</f>
        <v>0</v>
      </c>
      <c r="Q21" s="64">
        <f t="shared" si="5"/>
        <v>0</v>
      </c>
    </row>
    <row r="22" spans="1:17" x14ac:dyDescent="0.2">
      <c r="A22" s="121" t="s">
        <v>48</v>
      </c>
      <c r="B22" s="106" t="s">
        <v>45</v>
      </c>
      <c r="C22" s="71">
        <v>0</v>
      </c>
      <c r="D22" s="75">
        <v>0</v>
      </c>
      <c r="E22" s="201">
        <v>0</v>
      </c>
      <c r="F22" s="201">
        <v>0</v>
      </c>
      <c r="G22" s="201">
        <v>0</v>
      </c>
      <c r="H22" s="15">
        <f>($D22-SUM($E22:G22))/9</f>
        <v>0</v>
      </c>
      <c r="I22" s="50">
        <f>($D22-SUM($E22:H22))/8</f>
        <v>0</v>
      </c>
      <c r="J22" s="15">
        <f>($D22-SUM($E22:I22))/7</f>
        <v>0</v>
      </c>
      <c r="K22" s="15">
        <f>($D22-SUM($E22:J22))/6</f>
        <v>0</v>
      </c>
      <c r="L22" s="15">
        <f>($D22-SUM($E22:K22))/5</f>
        <v>0</v>
      </c>
      <c r="M22" s="15">
        <f>($D22-SUM($E22:L22))/4</f>
        <v>0</v>
      </c>
      <c r="N22" s="15">
        <f>($D22-SUM($E22:M22))/3</f>
        <v>0</v>
      </c>
      <c r="O22" s="100">
        <f>($D22-SUM($E22:N22))/2</f>
        <v>0</v>
      </c>
      <c r="P22" s="61">
        <f>($D22-SUM($E22:O22))/1</f>
        <v>0</v>
      </c>
      <c r="Q22" s="64">
        <f t="shared" si="5"/>
        <v>0</v>
      </c>
    </row>
    <row r="23" spans="1:17" x14ac:dyDescent="0.2">
      <c r="A23" s="121">
        <v>4165</v>
      </c>
      <c r="B23" s="106" t="s">
        <v>35</v>
      </c>
      <c r="C23" s="71">
        <v>0</v>
      </c>
      <c r="D23" s="75">
        <v>0</v>
      </c>
      <c r="E23" s="201">
        <v>0</v>
      </c>
      <c r="F23" s="201">
        <v>0</v>
      </c>
      <c r="G23" s="201">
        <v>0</v>
      </c>
      <c r="H23" s="15">
        <f t="shared" ref="H23:H24" si="13">SUM($D23*9%)</f>
        <v>0</v>
      </c>
      <c r="I23" s="50">
        <f t="shared" ref="I23:I24" si="14">$D23*8.5%</f>
        <v>0</v>
      </c>
      <c r="J23" s="15">
        <f t="shared" ref="J23:L24" si="15">SUM($D23*9%)</f>
        <v>0</v>
      </c>
      <c r="K23" s="15">
        <f t="shared" si="15"/>
        <v>0</v>
      </c>
      <c r="L23" s="15">
        <f t="shared" si="15"/>
        <v>0</v>
      </c>
      <c r="M23" s="16">
        <f t="shared" ref="M23:M24" si="16">SUM($D23*5%)</f>
        <v>0</v>
      </c>
      <c r="N23" s="16">
        <f t="shared" ref="N23:N24" si="17">SUM($D23*6%)</f>
        <v>0</v>
      </c>
      <c r="O23" s="100">
        <f t="shared" ref="O23:O24" si="18">SUM($D23*12.5%)</f>
        <v>0</v>
      </c>
      <c r="P23" s="61">
        <f>($D23-SUM($E23:O23))/1</f>
        <v>0</v>
      </c>
      <c r="Q23" s="64">
        <f t="shared" si="5"/>
        <v>0</v>
      </c>
    </row>
    <row r="24" spans="1:17" x14ac:dyDescent="0.2">
      <c r="A24" s="121">
        <v>4174</v>
      </c>
      <c r="B24" s="106" t="s">
        <v>36</v>
      </c>
      <c r="C24" s="71">
        <v>0</v>
      </c>
      <c r="D24" s="75">
        <v>0</v>
      </c>
      <c r="E24" s="201">
        <v>0</v>
      </c>
      <c r="F24" s="201">
        <v>0</v>
      </c>
      <c r="G24" s="201">
        <v>0</v>
      </c>
      <c r="H24" s="15">
        <f t="shared" si="13"/>
        <v>0</v>
      </c>
      <c r="I24" s="50">
        <f t="shared" si="14"/>
        <v>0</v>
      </c>
      <c r="J24" s="15">
        <f t="shared" si="15"/>
        <v>0</v>
      </c>
      <c r="K24" s="15">
        <f t="shared" si="15"/>
        <v>0</v>
      </c>
      <c r="L24" s="15">
        <f t="shared" si="15"/>
        <v>0</v>
      </c>
      <c r="M24" s="16">
        <f t="shared" si="16"/>
        <v>0</v>
      </c>
      <c r="N24" s="16">
        <f t="shared" si="17"/>
        <v>0</v>
      </c>
      <c r="O24" s="100">
        <f t="shared" si="18"/>
        <v>0</v>
      </c>
      <c r="P24" s="61">
        <f>($D24-SUM($E24:O24))/1</f>
        <v>0</v>
      </c>
      <c r="Q24" s="64">
        <f t="shared" si="5"/>
        <v>0</v>
      </c>
    </row>
    <row r="25" spans="1:17" x14ac:dyDescent="0.2">
      <c r="A25" s="121">
        <v>4175</v>
      </c>
      <c r="B25" s="106" t="s">
        <v>31</v>
      </c>
      <c r="C25" s="71">
        <v>0</v>
      </c>
      <c r="D25" s="75">
        <v>0</v>
      </c>
      <c r="E25" s="201">
        <v>0</v>
      </c>
      <c r="F25" s="201">
        <v>0</v>
      </c>
      <c r="G25" s="201">
        <v>0</v>
      </c>
      <c r="H25" s="15">
        <f>($D25-SUM($E25:G25))/9</f>
        <v>0</v>
      </c>
      <c r="I25" s="50">
        <f>($D25-SUM($E25:H25))/8</f>
        <v>0</v>
      </c>
      <c r="J25" s="15">
        <f>($D25-SUM($E25:I25))/7</f>
        <v>0</v>
      </c>
      <c r="K25" s="15">
        <f>($D25-SUM($E25:J25))/6</f>
        <v>0</v>
      </c>
      <c r="L25" s="15">
        <f>($D25-SUM($E25:K25))/5</f>
        <v>0</v>
      </c>
      <c r="M25" s="15">
        <f>($D25-SUM($E25:L25))/4</f>
        <v>0</v>
      </c>
      <c r="N25" s="15">
        <f>($D25-SUM($E25:M25))/3</f>
        <v>0</v>
      </c>
      <c r="O25" s="100">
        <f>($D25-SUM($E25:N25))/2</f>
        <v>0</v>
      </c>
      <c r="P25" s="61">
        <f>($D25-SUM($E25:O25))/1</f>
        <v>0</v>
      </c>
      <c r="Q25" s="64">
        <f t="shared" si="5"/>
        <v>0</v>
      </c>
    </row>
    <row r="26" spans="1:17" x14ac:dyDescent="0.2">
      <c r="A26" s="121">
        <v>4198</v>
      </c>
      <c r="B26" s="106" t="s">
        <v>1</v>
      </c>
      <c r="C26" s="71">
        <v>990</v>
      </c>
      <c r="D26" s="75">
        <v>0</v>
      </c>
      <c r="E26" s="201">
        <v>0</v>
      </c>
      <c r="F26" s="201">
        <v>0</v>
      </c>
      <c r="G26" s="201">
        <v>0</v>
      </c>
      <c r="H26" s="15">
        <f>($D26-SUM($E26:G26))/9</f>
        <v>0</v>
      </c>
      <c r="I26" s="50">
        <f>($D26-SUM($E26:H26))/8</f>
        <v>0</v>
      </c>
      <c r="J26" s="15">
        <f>($D26-SUM($E26:I26))/7</f>
        <v>0</v>
      </c>
      <c r="K26" s="15">
        <f>($D26-SUM($E26:J26))/6</f>
        <v>0</v>
      </c>
      <c r="L26" s="15">
        <f>($D26-SUM($E26:K26))/5</f>
        <v>0</v>
      </c>
      <c r="M26" s="16">
        <f>($D26-SUM($E26:L26))/4</f>
        <v>0</v>
      </c>
      <c r="N26" s="16">
        <f>($D26-SUM($E26:M26))/3</f>
        <v>0</v>
      </c>
      <c r="O26" s="100">
        <f>($D26-SUM($E26:N26))/2</f>
        <v>0</v>
      </c>
      <c r="P26" s="61">
        <f>($D26-SUM($E26:O26))/1</f>
        <v>0</v>
      </c>
      <c r="Q26" s="64">
        <f t="shared" si="5"/>
        <v>0</v>
      </c>
    </row>
    <row r="27" spans="1:17" x14ac:dyDescent="0.2">
      <c r="A27" s="121" t="s">
        <v>21</v>
      </c>
      <c r="B27" s="106" t="s">
        <v>11</v>
      </c>
      <c r="C27" s="71">
        <v>0</v>
      </c>
      <c r="D27" s="75">
        <v>77.25</v>
      </c>
      <c r="E27" s="201">
        <v>0</v>
      </c>
      <c r="F27" s="201">
        <v>0</v>
      </c>
      <c r="G27" s="201">
        <v>77.25</v>
      </c>
      <c r="H27" s="15">
        <f>($D27-SUM($E27:G27))/9</f>
        <v>0</v>
      </c>
      <c r="I27" s="50">
        <f>($D27-SUM($E27:H27))/8</f>
        <v>0</v>
      </c>
      <c r="J27" s="15">
        <f>($D27-SUM($E27:I27))/7</f>
        <v>0</v>
      </c>
      <c r="K27" s="15">
        <f>($D27-SUM($E27:J27))/6</f>
        <v>0</v>
      </c>
      <c r="L27" s="15">
        <f>($D27-SUM($E27:K27))/5</f>
        <v>0</v>
      </c>
      <c r="M27" s="16">
        <f>($D27-SUM($E27:L27))/4</f>
        <v>0</v>
      </c>
      <c r="N27" s="16">
        <f>($D27-SUM($E27:M27))/3</f>
        <v>0</v>
      </c>
      <c r="O27" s="100">
        <f>($D27-SUM($E27:N27))/2</f>
        <v>0</v>
      </c>
      <c r="P27" s="61">
        <f>($D27-SUM($E27:O27))/1</f>
        <v>0</v>
      </c>
      <c r="Q27" s="64">
        <f t="shared" si="5"/>
        <v>77.25</v>
      </c>
    </row>
    <row r="28" spans="1:17" x14ac:dyDescent="0.2">
      <c r="A28" s="121" t="s">
        <v>32</v>
      </c>
      <c r="B28" s="106" t="s">
        <v>33</v>
      </c>
      <c r="C28" s="71">
        <v>0</v>
      </c>
      <c r="D28" s="75">
        <v>0</v>
      </c>
      <c r="E28" s="201">
        <v>0</v>
      </c>
      <c r="F28" s="201">
        <v>0</v>
      </c>
      <c r="G28" s="201">
        <f>($D28-SUM($E28:F28))/10</f>
        <v>0</v>
      </c>
      <c r="H28" s="15">
        <f>($D28-SUM($E28:G28))/9</f>
        <v>0</v>
      </c>
      <c r="I28" s="50">
        <f>($D28-SUM($E28:H28))/8</f>
        <v>0</v>
      </c>
      <c r="J28" s="15">
        <f>($D28-SUM($E28:I28))/7</f>
        <v>0</v>
      </c>
      <c r="K28" s="15">
        <f>($D28-SUM($E28:J28))/6</f>
        <v>0</v>
      </c>
      <c r="L28" s="15">
        <f>($D28-SUM($E28:K28))/5</f>
        <v>0</v>
      </c>
      <c r="M28" s="16">
        <f>($D28-SUM($E28:L28))/4</f>
        <v>0</v>
      </c>
      <c r="N28" s="16">
        <f>($D28-SUM($E28:M28))/3</f>
        <v>0</v>
      </c>
      <c r="O28" s="100">
        <f>($D28-SUM($E28:N28))/2</f>
        <v>0</v>
      </c>
      <c r="P28" s="61">
        <f>($D28-SUM($E28:O28))/1</f>
        <v>0</v>
      </c>
      <c r="Q28" s="64">
        <f t="shared" si="5"/>
        <v>0</v>
      </c>
    </row>
    <row r="29" spans="1:17" x14ac:dyDescent="0.2">
      <c r="A29" s="121" t="s">
        <v>128</v>
      </c>
      <c r="B29" s="106" t="s">
        <v>130</v>
      </c>
      <c r="C29" s="71">
        <v>0</v>
      </c>
      <c r="D29" s="75">
        <v>737.8</v>
      </c>
      <c r="E29" s="201">
        <v>0</v>
      </c>
      <c r="F29" s="201">
        <v>0</v>
      </c>
      <c r="G29" s="201">
        <v>737.8</v>
      </c>
      <c r="H29" s="15">
        <f>($D29-SUM($E29:G29))/9</f>
        <v>0</v>
      </c>
      <c r="I29" s="50">
        <f>($D29-SUM($E29:H29))/8</f>
        <v>0</v>
      </c>
      <c r="J29" s="15">
        <f>($D29-SUM($E29:I29))/7</f>
        <v>0</v>
      </c>
      <c r="K29" s="15">
        <f>($D29-SUM($E29:J29))/6</f>
        <v>0</v>
      </c>
      <c r="L29" s="15">
        <f>($D29-SUM($E29:K29))/5</f>
        <v>0</v>
      </c>
      <c r="M29" s="16">
        <f>($D29-SUM($E29:L29))/4</f>
        <v>0</v>
      </c>
      <c r="N29" s="16">
        <f>($D29-SUM($E29:M29))/3</f>
        <v>0</v>
      </c>
      <c r="O29" s="100">
        <f>($D29-SUM($E29:N29))/2</f>
        <v>0</v>
      </c>
      <c r="P29" s="61">
        <f>($D29-SUM($E29:O29))/1</f>
        <v>0</v>
      </c>
      <c r="Q29" s="64">
        <f t="shared" ref="Q29:Q30" si="19">SUM(E29:P29)</f>
        <v>737.8</v>
      </c>
    </row>
    <row r="30" spans="1:17" x14ac:dyDescent="0.2">
      <c r="A30" s="121" t="s">
        <v>129</v>
      </c>
      <c r="B30" s="106" t="s">
        <v>131</v>
      </c>
      <c r="C30" s="71">
        <v>0</v>
      </c>
      <c r="D30" s="75">
        <v>1466.72</v>
      </c>
      <c r="E30" s="201">
        <v>0</v>
      </c>
      <c r="F30" s="201">
        <v>0</v>
      </c>
      <c r="G30" s="201">
        <v>1466.72</v>
      </c>
      <c r="H30" s="15">
        <f>($D30-SUM($E30:G30))/9</f>
        <v>0</v>
      </c>
      <c r="I30" s="50">
        <f>($D30-SUM($E30:H30))/8</f>
        <v>0</v>
      </c>
      <c r="J30" s="15">
        <f>($D30-SUM($E30:I30))/7</f>
        <v>0</v>
      </c>
      <c r="K30" s="15">
        <f>($D30-SUM($E30:J30))/6</f>
        <v>0</v>
      </c>
      <c r="L30" s="15">
        <f>($D30-SUM($E30:K30))/5</f>
        <v>0</v>
      </c>
      <c r="M30" s="16">
        <f>($D30-SUM($E30:L30))/4</f>
        <v>0</v>
      </c>
      <c r="N30" s="16">
        <f>($D30-SUM($E30:M30))/3</f>
        <v>0</v>
      </c>
      <c r="O30" s="100">
        <f>($D30-SUM($E30:N30))/2</f>
        <v>0</v>
      </c>
      <c r="P30" s="61">
        <f>($D30-SUM($E30:O30))/1</f>
        <v>0</v>
      </c>
      <c r="Q30" s="64">
        <f t="shared" si="19"/>
        <v>1466.72</v>
      </c>
    </row>
    <row r="31" spans="1:17" x14ac:dyDescent="0.2">
      <c r="A31" s="121">
        <v>4199</v>
      </c>
      <c r="B31" s="106" t="s">
        <v>37</v>
      </c>
      <c r="C31" s="71">
        <v>106689</v>
      </c>
      <c r="D31" s="75">
        <v>106689</v>
      </c>
      <c r="E31" s="201">
        <v>13432.45</v>
      </c>
      <c r="F31" s="201">
        <v>11939.95</v>
      </c>
      <c r="G31" s="201">
        <v>7462.47</v>
      </c>
      <c r="H31" s="15">
        <f>SUM($D31*9%)</f>
        <v>9602.01</v>
      </c>
      <c r="I31" s="50">
        <f>$D31*8.5%</f>
        <v>9068.5650000000005</v>
      </c>
      <c r="J31" s="15">
        <f>SUM($D31*9%)</f>
        <v>9602.01</v>
      </c>
      <c r="K31" s="15">
        <f>SUM($D31*9%)</f>
        <v>9602.01</v>
      </c>
      <c r="L31" s="15">
        <f>SUM($D31*9%)</f>
        <v>9602.01</v>
      </c>
      <c r="M31" s="16">
        <f>SUM($D31*5%)</f>
        <v>5334.4500000000007</v>
      </c>
      <c r="N31" s="16">
        <f>SUM($D31*6%)</f>
        <v>6401.34</v>
      </c>
      <c r="O31" s="100">
        <f>SUM($D31*12.5%)</f>
        <v>13336.125</v>
      </c>
      <c r="P31" s="61">
        <f>($D31-SUM($E31:O31))/1</f>
        <v>1305.6100000000006</v>
      </c>
      <c r="Q31" s="64">
        <f t="shared" si="5"/>
        <v>106689</v>
      </c>
    </row>
    <row r="32" spans="1:17" x14ac:dyDescent="0.2">
      <c r="A32" s="122">
        <v>6111</v>
      </c>
      <c r="B32" s="107" t="s">
        <v>124</v>
      </c>
      <c r="C32" s="71">
        <v>3931</v>
      </c>
      <c r="D32" s="75">
        <v>3931</v>
      </c>
      <c r="E32" s="201">
        <v>0</v>
      </c>
      <c r="F32" s="201">
        <v>0</v>
      </c>
      <c r="G32" s="201">
        <v>0</v>
      </c>
      <c r="H32" s="15">
        <f>($D32-SUM($E32:G32))/9</f>
        <v>436.77777777777777</v>
      </c>
      <c r="I32" s="50">
        <f>($D32-SUM($E32:H32))/8</f>
        <v>436.77777777777777</v>
      </c>
      <c r="J32" s="15">
        <f>($D32-SUM($E32:I32))/7</f>
        <v>436.77777777777777</v>
      </c>
      <c r="K32" s="15">
        <f>($D32-SUM($E32:J32))/6</f>
        <v>436.77777777777783</v>
      </c>
      <c r="L32" s="15">
        <f>($D32-SUM($E32:K32))/5</f>
        <v>436.77777777777771</v>
      </c>
      <c r="M32" s="15">
        <f>($D32-SUM($E32:L32))/4</f>
        <v>436.77777777777783</v>
      </c>
      <c r="N32" s="15">
        <f>($D32-SUM($E32:M32))/3</f>
        <v>436.77777777777783</v>
      </c>
      <c r="O32" s="100">
        <f>($D32-SUM($E32:N32))/2</f>
        <v>436.77777777777783</v>
      </c>
      <c r="P32" s="61">
        <f>($D32-SUM($E32:O32))/1</f>
        <v>436.77777777777783</v>
      </c>
      <c r="Q32" s="64">
        <f t="shared" ref="Q32" si="20">SUM(E32:P32)</f>
        <v>3931</v>
      </c>
    </row>
    <row r="33" spans="1:30" x14ac:dyDescent="0.2">
      <c r="A33" s="122">
        <v>6112</v>
      </c>
      <c r="B33" s="107" t="s">
        <v>115</v>
      </c>
      <c r="C33" s="71">
        <v>0</v>
      </c>
      <c r="D33" s="75">
        <v>0</v>
      </c>
      <c r="E33" s="201">
        <v>0</v>
      </c>
      <c r="F33" s="201">
        <v>0</v>
      </c>
      <c r="G33" s="201">
        <v>0</v>
      </c>
      <c r="H33" s="15">
        <f>($D33-SUM($E33:G33))/9</f>
        <v>0</v>
      </c>
      <c r="I33" s="50">
        <f>($D33-SUM($E33:H33))/8</f>
        <v>0</v>
      </c>
      <c r="J33" s="15">
        <f>($D33-SUM($E33:I33))/7</f>
        <v>0</v>
      </c>
      <c r="K33" s="15">
        <f>($D33-SUM($E33:J33))/6</f>
        <v>0</v>
      </c>
      <c r="L33" s="15">
        <f>($D33-SUM($E33:K33))/5</f>
        <v>0</v>
      </c>
      <c r="M33" s="15">
        <f>($D33-SUM($E33:L33))/4</f>
        <v>0</v>
      </c>
      <c r="N33" s="15">
        <f>($D33-SUM($E33:M33))/3</f>
        <v>0</v>
      </c>
      <c r="O33" s="100">
        <f>($D33-SUM($E33:N33))/2</f>
        <v>0</v>
      </c>
      <c r="P33" s="61">
        <f>($D33-SUM($E33:O33))/1</f>
        <v>0</v>
      </c>
      <c r="Q33" s="64">
        <f t="shared" si="5"/>
        <v>0</v>
      </c>
    </row>
    <row r="34" spans="1:30" x14ac:dyDescent="0.2">
      <c r="A34" s="122">
        <v>6113</v>
      </c>
      <c r="B34" s="107" t="s">
        <v>116</v>
      </c>
      <c r="C34" s="71">
        <v>80000</v>
      </c>
      <c r="D34" s="75">
        <v>80000</v>
      </c>
      <c r="E34" s="201">
        <v>0</v>
      </c>
      <c r="F34" s="201">
        <v>0</v>
      </c>
      <c r="G34" s="201">
        <v>7659.03</v>
      </c>
      <c r="H34" s="15">
        <f>($D34-SUM($E34:G34))/9</f>
        <v>8037.8855555555556</v>
      </c>
      <c r="I34" s="50">
        <f>($D34-SUM($E34:H34))/8</f>
        <v>8037.8855555555556</v>
      </c>
      <c r="J34" s="15">
        <f>($D34-SUM($E34:I34))/7</f>
        <v>8037.8855555555556</v>
      </c>
      <c r="K34" s="15">
        <f>($D34-SUM($E34:J34))/6</f>
        <v>8037.8855555555556</v>
      </c>
      <c r="L34" s="15">
        <f>($D34-SUM($E34:K34))/5</f>
        <v>8037.8855555555547</v>
      </c>
      <c r="M34" s="15">
        <f>($D34-SUM($E34:L34))/4</f>
        <v>8037.8855555555547</v>
      </c>
      <c r="N34" s="15">
        <f>($D34-SUM($E34:M34))/3</f>
        <v>8037.8855555555538</v>
      </c>
      <c r="O34" s="100">
        <f>($D34-SUM($E34:N34))/2</f>
        <v>8037.8855555555529</v>
      </c>
      <c r="P34" s="61">
        <f>($D34-SUM($E34:O34))/1</f>
        <v>8037.8855555555492</v>
      </c>
      <c r="Q34" s="64">
        <f t="shared" si="5"/>
        <v>80000</v>
      </c>
    </row>
    <row r="35" spans="1:30" x14ac:dyDescent="0.2">
      <c r="A35" s="122">
        <v>6114</v>
      </c>
      <c r="B35" s="107" t="s">
        <v>117</v>
      </c>
      <c r="C35" s="71">
        <v>25017</v>
      </c>
      <c r="D35" s="75">
        <v>25017</v>
      </c>
      <c r="E35" s="201">
        <v>0</v>
      </c>
      <c r="F35" s="201">
        <v>0</v>
      </c>
      <c r="G35" s="201">
        <v>0</v>
      </c>
      <c r="H35" s="15">
        <f>($D35-SUM($E35:G35))/9</f>
        <v>2779.6666666666665</v>
      </c>
      <c r="I35" s="50">
        <f>($D35-SUM($E35:H35))/8</f>
        <v>2779.6666666666665</v>
      </c>
      <c r="J35" s="15">
        <f>($D35-SUM($E35:I35))/7</f>
        <v>2779.666666666667</v>
      </c>
      <c r="K35" s="15">
        <f>($D35-SUM($E35:J35))/6</f>
        <v>2779.6666666666665</v>
      </c>
      <c r="L35" s="15">
        <f>($D35-SUM($E35:K35))/5</f>
        <v>2779.666666666667</v>
      </c>
      <c r="M35" s="15">
        <f>($D35-SUM($E35:L35))/4</f>
        <v>2779.666666666667</v>
      </c>
      <c r="N35" s="15">
        <f>($D35-SUM($E35:M35))/3</f>
        <v>2779.6666666666665</v>
      </c>
      <c r="O35" s="100">
        <f>($D35-SUM($E35:N35))/2</f>
        <v>2779.6666666666661</v>
      </c>
      <c r="P35" s="61">
        <f>($D35-SUM($E35:O35))/1</f>
        <v>2779.6666666666642</v>
      </c>
      <c r="Q35" s="64">
        <f t="shared" si="5"/>
        <v>25017</v>
      </c>
    </row>
    <row r="36" spans="1:30" x14ac:dyDescent="0.2">
      <c r="A36" s="122">
        <v>6123</v>
      </c>
      <c r="B36" s="107" t="s">
        <v>114</v>
      </c>
      <c r="C36" s="71">
        <v>0</v>
      </c>
      <c r="D36" s="75">
        <v>0</v>
      </c>
      <c r="E36" s="201">
        <v>0</v>
      </c>
      <c r="F36" s="201">
        <v>0</v>
      </c>
      <c r="G36" s="201">
        <v>0</v>
      </c>
      <c r="H36" s="15">
        <f>($D36-SUM($E36:G36))/9</f>
        <v>0</v>
      </c>
      <c r="I36" s="50">
        <f>($D36-SUM($E36:H36))/8</f>
        <v>0</v>
      </c>
      <c r="J36" s="15">
        <f>($D36-SUM($E36:I36))/7</f>
        <v>0</v>
      </c>
      <c r="K36" s="15">
        <f>($D36-SUM($E36:J36))/6</f>
        <v>0</v>
      </c>
      <c r="L36" s="15">
        <f>($D36-SUM($E36:K36))/5</f>
        <v>0</v>
      </c>
      <c r="M36" s="15">
        <f>($D36-SUM($E36:L36))/4</f>
        <v>0</v>
      </c>
      <c r="N36" s="15">
        <f>($D36-SUM($E36:M36))/3</f>
        <v>0</v>
      </c>
      <c r="O36" s="100">
        <f>($D36-SUM($E36:N36))/2</f>
        <v>0</v>
      </c>
      <c r="P36" s="61">
        <f>($D36-SUM($E36:O36))/1</f>
        <v>0</v>
      </c>
      <c r="Q36" s="64">
        <f t="shared" ref="Q36" si="21">SUM(E36:P36)</f>
        <v>0</v>
      </c>
    </row>
    <row r="37" spans="1:30" x14ac:dyDescent="0.2">
      <c r="A37" s="122">
        <v>6124</v>
      </c>
      <c r="B37" s="107" t="s">
        <v>38</v>
      </c>
      <c r="C37" s="71">
        <v>11000</v>
      </c>
      <c r="D37" s="75">
        <v>11000</v>
      </c>
      <c r="E37" s="201">
        <v>0</v>
      </c>
      <c r="F37" s="201">
        <v>0</v>
      </c>
      <c r="G37" s="201">
        <v>0</v>
      </c>
      <c r="H37" s="15">
        <f>($D37-SUM($E37:G37))/9</f>
        <v>1222.2222222222222</v>
      </c>
      <c r="I37" s="50">
        <f>($D37-SUM($E37:H37))/8</f>
        <v>1222.2222222222222</v>
      </c>
      <c r="J37" s="15">
        <f>($D37-SUM($E37:I37))/7</f>
        <v>1222.2222222222222</v>
      </c>
      <c r="K37" s="15">
        <f>($D37-SUM($E37:J37))/6</f>
        <v>1222.2222222222224</v>
      </c>
      <c r="L37" s="15">
        <f>($D37-SUM($E37:K37))/5</f>
        <v>1222.2222222222222</v>
      </c>
      <c r="M37" s="15">
        <f>($D37-SUM($E37:L37))/4</f>
        <v>1222.2222222222222</v>
      </c>
      <c r="N37" s="15">
        <f>($D37-SUM($E37:M37))/3</f>
        <v>1222.2222222222219</v>
      </c>
      <c r="O37" s="100">
        <f>($D37-SUM($E37:N37))/2</f>
        <v>1222.2222222222217</v>
      </c>
      <c r="P37" s="61">
        <f>($D37-SUM($E37:O37))/1</f>
        <v>1222.2222222222226</v>
      </c>
      <c r="Q37" s="64">
        <f t="shared" si="5"/>
        <v>11000</v>
      </c>
    </row>
    <row r="38" spans="1:30" x14ac:dyDescent="0.2">
      <c r="A38" s="122">
        <v>6125</v>
      </c>
      <c r="B38" s="107" t="s">
        <v>63</v>
      </c>
      <c r="C38" s="71">
        <v>0</v>
      </c>
      <c r="D38" s="75">
        <v>0</v>
      </c>
      <c r="E38" s="201">
        <v>0</v>
      </c>
      <c r="F38" s="201">
        <v>0</v>
      </c>
      <c r="G38" s="201">
        <v>0</v>
      </c>
      <c r="H38" s="15">
        <f>($D38-SUM($E38:G38))/9</f>
        <v>0</v>
      </c>
      <c r="I38" s="50">
        <f>($D38-SUM($E38:H38))/8</f>
        <v>0</v>
      </c>
      <c r="J38" s="15">
        <f>($D38-SUM($E38:I38))/7</f>
        <v>0</v>
      </c>
      <c r="K38" s="15">
        <f>($D38-SUM($E38:J38))/6</f>
        <v>0</v>
      </c>
      <c r="L38" s="15">
        <f>($D38-SUM($E38:K38))/5</f>
        <v>0</v>
      </c>
      <c r="M38" s="15">
        <f>($D38-SUM($E38:L38))/4</f>
        <v>0</v>
      </c>
      <c r="N38" s="15">
        <f>($D38-SUM($E38:M38))/3</f>
        <v>0</v>
      </c>
      <c r="O38" s="100">
        <f>($D38-SUM($E38:N38))/2</f>
        <v>0</v>
      </c>
      <c r="P38" s="61">
        <f>($D38-SUM($E38:O38))/1</f>
        <v>0</v>
      </c>
      <c r="Q38" s="64">
        <f>SUM(E38:P38)</f>
        <v>0</v>
      </c>
    </row>
    <row r="39" spans="1:30" x14ac:dyDescent="0.2">
      <c r="A39" s="122">
        <v>6138</v>
      </c>
      <c r="B39" s="107" t="s">
        <v>39</v>
      </c>
      <c r="C39" s="71">
        <v>0</v>
      </c>
      <c r="D39" s="75">
        <v>0</v>
      </c>
      <c r="E39" s="201">
        <v>0</v>
      </c>
      <c r="F39" s="201">
        <v>0</v>
      </c>
      <c r="G39" s="201">
        <v>0</v>
      </c>
      <c r="H39" s="15">
        <f>($D39-SUM($E39:G39))/9</f>
        <v>0</v>
      </c>
      <c r="I39" s="50">
        <f>($D39-SUM($E39:H39))/8</f>
        <v>0</v>
      </c>
      <c r="J39" s="15">
        <f>($D39-SUM($E39:I39))/7</f>
        <v>0</v>
      </c>
      <c r="K39" s="15">
        <f>($D39-SUM($E39:J39))/6</f>
        <v>0</v>
      </c>
      <c r="L39" s="15">
        <f>($D39-SUM($E39:K39))/5</f>
        <v>0</v>
      </c>
      <c r="M39" s="15">
        <f>($D39-SUM($E39:L39))/4</f>
        <v>0</v>
      </c>
      <c r="N39" s="15">
        <f>($D39-SUM($E39:M39))/3</f>
        <v>0</v>
      </c>
      <c r="O39" s="100">
        <f>($D39-SUM($E39:N39))/2</f>
        <v>0</v>
      </c>
      <c r="P39" s="61">
        <f>($D39-SUM($E39:O39))/1</f>
        <v>0</v>
      </c>
      <c r="Q39" s="64">
        <f t="shared" si="5"/>
        <v>0</v>
      </c>
    </row>
    <row r="40" spans="1:30" x14ac:dyDescent="0.2">
      <c r="A40" s="122">
        <v>6151</v>
      </c>
      <c r="B40" s="107" t="s">
        <v>16</v>
      </c>
      <c r="C40" s="71">
        <v>1619</v>
      </c>
      <c r="D40" s="75">
        <v>1619</v>
      </c>
      <c r="E40" s="201">
        <v>0</v>
      </c>
      <c r="F40" s="201">
        <v>0</v>
      </c>
      <c r="G40" s="201">
        <v>0</v>
      </c>
      <c r="H40" s="15">
        <f>($D40-SUM($E40:G40))/9</f>
        <v>179.88888888888889</v>
      </c>
      <c r="I40" s="50">
        <f>($D40-SUM($E40:H40))/8</f>
        <v>179.88888888888889</v>
      </c>
      <c r="J40" s="15">
        <f>($D40-SUM($E40:I40))/7</f>
        <v>179.88888888888889</v>
      </c>
      <c r="K40" s="15">
        <f>($D40-SUM($E40:J40))/6</f>
        <v>179.88888888888891</v>
      </c>
      <c r="L40" s="15">
        <f>($D40-SUM($E40:K40))/5</f>
        <v>179.88888888888889</v>
      </c>
      <c r="M40" s="15">
        <f>($D40-SUM($E40:L40))/4</f>
        <v>179.88888888888889</v>
      </c>
      <c r="N40" s="15">
        <f>($D40-SUM($E40:M40))/3</f>
        <v>179.88888888888891</v>
      </c>
      <c r="O40" s="100">
        <f>($D40-SUM($E40:N40))/2</f>
        <v>179.88888888888891</v>
      </c>
      <c r="P40" s="61">
        <f>($D40-SUM($E40:O40))/1</f>
        <v>179.88888888888891</v>
      </c>
      <c r="Q40" s="64">
        <f t="shared" si="5"/>
        <v>1619</v>
      </c>
    </row>
    <row r="41" spans="1:30" x14ac:dyDescent="0.2">
      <c r="A41" s="122">
        <v>6152</v>
      </c>
      <c r="B41" s="107" t="s">
        <v>40</v>
      </c>
      <c r="C41" s="71">
        <v>11973</v>
      </c>
      <c r="D41" s="75">
        <v>11973</v>
      </c>
      <c r="E41" s="201">
        <v>0</v>
      </c>
      <c r="F41" s="201">
        <v>0</v>
      </c>
      <c r="G41" s="201">
        <v>0</v>
      </c>
      <c r="H41" s="15">
        <f>($D41-SUM($E41:G41))/9</f>
        <v>1330.3333333333333</v>
      </c>
      <c r="I41" s="50">
        <f>($D41-SUM($E41:H41))/8</f>
        <v>1330.3333333333333</v>
      </c>
      <c r="J41" s="15">
        <f>($D41-SUM($E41:I41))/7</f>
        <v>1330.3333333333335</v>
      </c>
      <c r="K41" s="15">
        <f>($D41-SUM($E41:J41))/6</f>
        <v>1330.3333333333333</v>
      </c>
      <c r="L41" s="15">
        <f>($D41-SUM($E41:K41))/5</f>
        <v>1330.3333333333335</v>
      </c>
      <c r="M41" s="15">
        <f>($D41-SUM($E41:L41))/4</f>
        <v>1330.3333333333335</v>
      </c>
      <c r="N41" s="15">
        <f>($D41-SUM($E41:M41))/3</f>
        <v>1330.3333333333333</v>
      </c>
      <c r="O41" s="100">
        <f>($D41-SUM($E41:N41))/2</f>
        <v>1330.333333333333</v>
      </c>
      <c r="P41" s="61">
        <f>($D41-SUM($E41:O41))/1</f>
        <v>1330.3333333333321</v>
      </c>
      <c r="Q41" s="64">
        <f t="shared" si="5"/>
        <v>11973</v>
      </c>
    </row>
    <row r="42" spans="1:30" x14ac:dyDescent="0.2">
      <c r="A42" s="122">
        <v>6153</v>
      </c>
      <c r="B42" s="107" t="s">
        <v>17</v>
      </c>
      <c r="C42" s="71">
        <v>0</v>
      </c>
      <c r="D42" s="75">
        <v>0</v>
      </c>
      <c r="E42" s="201">
        <v>0</v>
      </c>
      <c r="F42" s="201">
        <v>0</v>
      </c>
      <c r="G42" s="201">
        <v>0</v>
      </c>
      <c r="H42" s="15">
        <f>($D42-SUM($E42:G42))/9</f>
        <v>0</v>
      </c>
      <c r="I42" s="50">
        <f>($D42-SUM($E42:H42))/8</f>
        <v>0</v>
      </c>
      <c r="J42" s="15">
        <f>($D42-SUM($E42:I42))/7</f>
        <v>0</v>
      </c>
      <c r="K42" s="15">
        <f>($D42-SUM($E42:J42))/6</f>
        <v>0</v>
      </c>
      <c r="L42" s="15">
        <f>($D42-SUM($E42:K42))/5</f>
        <v>0</v>
      </c>
      <c r="M42" s="15">
        <f>($D42-SUM($E42:L42))/4</f>
        <v>0</v>
      </c>
      <c r="N42" s="15">
        <f>($D42-SUM($E42:M42))/3</f>
        <v>0</v>
      </c>
      <c r="O42" s="100">
        <f>($D42-SUM($E42:N42))/2</f>
        <v>0</v>
      </c>
      <c r="P42" s="61">
        <f>($D42-SUM($E42:O42))/1</f>
        <v>0</v>
      </c>
      <c r="Q42" s="64">
        <f t="shared" si="5"/>
        <v>0</v>
      </c>
    </row>
    <row r="43" spans="1:30" x14ac:dyDescent="0.2">
      <c r="A43" s="122">
        <v>6198</v>
      </c>
      <c r="B43" s="107" t="s">
        <v>134</v>
      </c>
      <c r="C43" s="71">
        <v>60000</v>
      </c>
      <c r="D43" s="75">
        <v>60000</v>
      </c>
      <c r="E43" s="201">
        <v>0</v>
      </c>
      <c r="F43" s="201">
        <v>0</v>
      </c>
      <c r="G43" s="201">
        <v>8646.9699999999993</v>
      </c>
      <c r="H43" s="15">
        <f>($D43-SUM($E43:G43))/9</f>
        <v>5705.8922222222218</v>
      </c>
      <c r="I43" s="50">
        <f>($D43-SUM($E43:H43))/8</f>
        <v>5705.8922222222227</v>
      </c>
      <c r="J43" s="15">
        <f>($D43-SUM($E43:I43))/7</f>
        <v>5705.8922222222227</v>
      </c>
      <c r="K43" s="15">
        <f>($D43-SUM($E43:J43))/6</f>
        <v>5705.8922222222218</v>
      </c>
      <c r="L43" s="15">
        <f>($D43-SUM($E43:K43))/5</f>
        <v>5705.8922222222227</v>
      </c>
      <c r="M43" s="15">
        <f>($D43-SUM($E43:L43))/4</f>
        <v>5705.8922222222227</v>
      </c>
      <c r="N43" s="15">
        <f>($D43-SUM($E43:M43))/3</f>
        <v>5705.8922222222218</v>
      </c>
      <c r="O43" s="100">
        <f>($D43-SUM($E43:N43))/2</f>
        <v>5705.8922222222209</v>
      </c>
      <c r="P43" s="61">
        <f>($D43-SUM($E43:O43))/1</f>
        <v>5705.8922222222172</v>
      </c>
      <c r="Q43" s="64">
        <f t="shared" si="5"/>
        <v>60000</v>
      </c>
    </row>
    <row r="44" spans="1:30" x14ac:dyDescent="0.2">
      <c r="A44" s="122" t="s">
        <v>132</v>
      </c>
      <c r="B44" s="107" t="s">
        <v>133</v>
      </c>
      <c r="C44" s="73">
        <v>0</v>
      </c>
      <c r="D44" s="75">
        <v>0</v>
      </c>
      <c r="E44" s="201">
        <v>0</v>
      </c>
      <c r="F44" s="201">
        <v>0</v>
      </c>
      <c r="G44" s="201">
        <v>4295.1499999999996</v>
      </c>
      <c r="H44" s="15">
        <f>($D44-SUM($E44:G44))/9</f>
        <v>-477.23888888888882</v>
      </c>
      <c r="I44" s="50">
        <f>($D44-SUM($E44:H44))/8</f>
        <v>-477.23888888888882</v>
      </c>
      <c r="J44" s="15">
        <f>($D44-SUM($E44:I44))/7</f>
        <v>-477.23888888888877</v>
      </c>
      <c r="K44" s="15">
        <f>($D44-SUM($E44:J44))/6</f>
        <v>-477.23888888888882</v>
      </c>
      <c r="L44" s="15">
        <f>($D44-SUM($E44:K44))/5</f>
        <v>-477.23888888888888</v>
      </c>
      <c r="M44" s="15">
        <f>($D44-SUM($E44:L44))/4</f>
        <v>-477.23888888888888</v>
      </c>
      <c r="N44" s="15">
        <f>($D44-SUM($E44:M44))/3</f>
        <v>-477.23888888888888</v>
      </c>
      <c r="O44" s="100">
        <f>($D44-SUM($E44:N44))/2</f>
        <v>-477.23888888888894</v>
      </c>
      <c r="P44" s="61">
        <f>($D44-SUM($E44:O44))/1</f>
        <v>-477.23888888888894</v>
      </c>
      <c r="Q44" s="64">
        <f t="shared" si="5"/>
        <v>0</v>
      </c>
    </row>
    <row r="45" spans="1:30" x14ac:dyDescent="0.2">
      <c r="A45" s="122">
        <v>619811</v>
      </c>
      <c r="B45" s="107" t="s">
        <v>126</v>
      </c>
      <c r="C45" s="73">
        <v>0</v>
      </c>
      <c r="D45" s="75">
        <v>6365.34</v>
      </c>
      <c r="E45" s="201">
        <v>6365.34</v>
      </c>
      <c r="F45" s="201">
        <v>0</v>
      </c>
      <c r="G45" s="201">
        <v>0</v>
      </c>
      <c r="H45" s="15">
        <f>($D45-SUM($E45:G45))/9</f>
        <v>0</v>
      </c>
      <c r="I45" s="50">
        <f>($D45-SUM($E45:H45))/8</f>
        <v>0</v>
      </c>
      <c r="J45" s="15">
        <f>($D45-SUM($E45:I45))/7</f>
        <v>0</v>
      </c>
      <c r="K45" s="15">
        <f>($D45-SUM($E45:J45))/6</f>
        <v>0</v>
      </c>
      <c r="L45" s="15">
        <f>($D45-SUM($E45:K45))/5</f>
        <v>0</v>
      </c>
      <c r="M45" s="15">
        <f>($D45-SUM($E45:L45))/4</f>
        <v>0</v>
      </c>
      <c r="N45" s="15">
        <f>($D45-SUM($E45:M45))/3</f>
        <v>0</v>
      </c>
      <c r="O45" s="100">
        <f>($D45-SUM($E45:N45))/2</f>
        <v>0</v>
      </c>
      <c r="P45" s="61">
        <f>($D45-SUM($E45:O45))/1</f>
        <v>0</v>
      </c>
      <c r="Q45" s="64">
        <f t="shared" si="5"/>
        <v>6365.34</v>
      </c>
    </row>
    <row r="46" spans="1:30" x14ac:dyDescent="0.2">
      <c r="A46" s="122">
        <v>6998</v>
      </c>
      <c r="B46" s="107" t="s">
        <v>125</v>
      </c>
      <c r="C46" s="73">
        <v>5000</v>
      </c>
      <c r="D46" s="75">
        <v>5000</v>
      </c>
      <c r="E46" s="201">
        <v>0</v>
      </c>
      <c r="F46" s="201">
        <v>0</v>
      </c>
      <c r="G46" s="201">
        <v>0</v>
      </c>
      <c r="H46" s="15">
        <f>($D46-SUM($E46:G46))/9</f>
        <v>555.55555555555554</v>
      </c>
      <c r="I46" s="50">
        <f>($D46-SUM($E46:H46))/8</f>
        <v>555.55555555555554</v>
      </c>
      <c r="J46" s="15">
        <f>($D46-SUM($E46:I46))/7</f>
        <v>555.55555555555554</v>
      </c>
      <c r="K46" s="15">
        <f>($D46-SUM($E46:J46))/6</f>
        <v>555.55555555555554</v>
      </c>
      <c r="L46" s="15">
        <f>($D46-SUM($E46:K46))/5</f>
        <v>555.55555555555554</v>
      </c>
      <c r="M46" s="15">
        <f>($D46-SUM($E46:L46))/4</f>
        <v>555.55555555555554</v>
      </c>
      <c r="N46" s="15">
        <f>($D46-SUM($E46:M46))/3</f>
        <v>555.55555555555554</v>
      </c>
      <c r="O46" s="100">
        <f>($D46-SUM($E46:N46))/2</f>
        <v>555.55555555555543</v>
      </c>
      <c r="P46" s="61">
        <f>($D46-SUM($E46:O46))/1</f>
        <v>555.55555555555566</v>
      </c>
      <c r="Q46" s="64">
        <f t="shared" ref="Q46" si="22">SUM(E46:P46)</f>
        <v>5000</v>
      </c>
    </row>
    <row r="47" spans="1:30" s="2" customFormat="1" ht="25.5" x14ac:dyDescent="0.2">
      <c r="A47" s="123" t="s">
        <v>83</v>
      </c>
      <c r="B47" s="127" t="s">
        <v>113</v>
      </c>
      <c r="C47" s="12">
        <f t="shared" ref="C47:P47" si="23">SUM(C8:C46)</f>
        <v>2484174</v>
      </c>
      <c r="D47" s="77">
        <f t="shared" si="23"/>
        <v>2667311.11</v>
      </c>
      <c r="E47" s="203">
        <f t="shared" si="23"/>
        <v>215609.33000000002</v>
      </c>
      <c r="F47" s="203">
        <f t="shared" si="23"/>
        <v>185994.65000000002</v>
      </c>
      <c r="G47" s="203">
        <f t="shared" si="23"/>
        <v>141941.51999999999</v>
      </c>
      <c r="H47" s="20">
        <f t="shared" si="23"/>
        <v>244574.28333333333</v>
      </c>
      <c r="I47" s="21">
        <f t="shared" si="23"/>
        <v>233151.06333333335</v>
      </c>
      <c r="J47" s="21">
        <f t="shared" si="23"/>
        <v>244574.28333333333</v>
      </c>
      <c r="K47" s="21">
        <f t="shared" si="23"/>
        <v>244574.28333333333</v>
      </c>
      <c r="L47" s="21">
        <f t="shared" si="23"/>
        <v>244574.28333333333</v>
      </c>
      <c r="M47" s="22">
        <f t="shared" si="23"/>
        <v>153188.52333333335</v>
      </c>
      <c r="N47" s="22">
        <f t="shared" si="23"/>
        <v>176034.96333333332</v>
      </c>
      <c r="O47" s="22">
        <f t="shared" si="23"/>
        <v>324536.82333333336</v>
      </c>
      <c r="P47" s="22">
        <f t="shared" si="23"/>
        <v>258557.10333333365</v>
      </c>
      <c r="Q47"/>
      <c r="R47"/>
      <c r="S47"/>
      <c r="T47"/>
      <c r="U47"/>
      <c r="V47"/>
      <c r="W47"/>
      <c r="X47"/>
      <c r="Y47"/>
      <c r="Z47"/>
      <c r="AA47"/>
      <c r="AB47"/>
      <c r="AC47"/>
      <c r="AD47"/>
    </row>
    <row r="48" spans="1:30" x14ac:dyDescent="0.2">
      <c r="A48" s="105"/>
      <c r="B48" s="105"/>
      <c r="C48" s="6"/>
      <c r="D48" s="78"/>
      <c r="E48" s="23"/>
      <c r="F48" s="23"/>
      <c r="G48" s="23"/>
      <c r="H48" s="23"/>
      <c r="I48" s="24"/>
      <c r="J48" s="24"/>
      <c r="K48" s="24"/>
      <c r="L48" s="24"/>
      <c r="M48" s="25"/>
      <c r="N48" s="25"/>
      <c r="O48" s="25"/>
      <c r="P48" s="25"/>
    </row>
    <row r="49" spans="1:17" x14ac:dyDescent="0.2">
      <c r="A49" s="105"/>
      <c r="B49" s="105"/>
      <c r="C49" s="86"/>
      <c r="D49" s="79"/>
      <c r="E49" s="211"/>
      <c r="F49" s="218"/>
      <c r="G49" s="218"/>
      <c r="H49" s="51"/>
      <c r="I49" s="52"/>
      <c r="J49" s="52"/>
      <c r="K49" s="52"/>
      <c r="L49" s="52"/>
      <c r="M49" s="52"/>
      <c r="N49" s="52"/>
      <c r="O49" s="52"/>
      <c r="P49" s="53"/>
    </row>
    <row r="50" spans="1:17" x14ac:dyDescent="0.2">
      <c r="A50" s="108" t="s">
        <v>84</v>
      </c>
      <c r="B50" s="108" t="s">
        <v>86</v>
      </c>
      <c r="C50" s="87">
        <v>0</v>
      </c>
      <c r="D50" s="80">
        <v>0</v>
      </c>
      <c r="E50" s="208">
        <f t="shared" ref="E50:E53" si="24">($D50)/12</f>
        <v>0</v>
      </c>
      <c r="F50" s="219">
        <v>0</v>
      </c>
      <c r="G50" s="219">
        <v>0</v>
      </c>
      <c r="H50" s="41">
        <f>($D50-SUM($E50:G50))/9</f>
        <v>0</v>
      </c>
      <c r="I50" s="41">
        <f>($D50-SUM($E50:H50))/8</f>
        <v>0</v>
      </c>
      <c r="J50" s="41">
        <f>($D50-SUM($E50:I50))/7</f>
        <v>0</v>
      </c>
      <c r="K50" s="41">
        <f>($D50-SUM($E50:J50))/6</f>
        <v>0</v>
      </c>
      <c r="L50" s="41">
        <f>($D50-SUM($E50:K50))/5</f>
        <v>0</v>
      </c>
      <c r="M50" s="41">
        <f>($D50-SUM($E50:L50))/4</f>
        <v>0</v>
      </c>
      <c r="N50" s="41">
        <f>($D50-SUM($E50:M50))/3</f>
        <v>0</v>
      </c>
      <c r="O50" s="93">
        <f>($D50-SUM($E50:N50))/2</f>
        <v>0</v>
      </c>
      <c r="P50" s="94">
        <f>($D50-SUM($E50:O50))/1</f>
        <v>0</v>
      </c>
      <c r="Q50" s="64">
        <f t="shared" ref="Q50:Q58" si="25">SUM(E50:P50)</f>
        <v>0</v>
      </c>
    </row>
    <row r="51" spans="1:17" customFormat="1" x14ac:dyDescent="0.2">
      <c r="A51" s="108" t="s">
        <v>54</v>
      </c>
      <c r="B51" s="105" t="s">
        <v>85</v>
      </c>
      <c r="C51" s="87">
        <v>0</v>
      </c>
      <c r="D51" s="80">
        <v>0</v>
      </c>
      <c r="E51" s="212">
        <v>0</v>
      </c>
      <c r="F51" s="220">
        <v>0</v>
      </c>
      <c r="G51" s="220">
        <v>0</v>
      </c>
      <c r="H51" s="18">
        <v>0</v>
      </c>
      <c r="I51" s="41">
        <v>0</v>
      </c>
      <c r="J51" s="41">
        <f>D51/2</f>
        <v>0</v>
      </c>
      <c r="K51" s="41">
        <v>0</v>
      </c>
      <c r="L51" s="41">
        <v>0</v>
      </c>
      <c r="M51" s="41">
        <v>0</v>
      </c>
      <c r="N51" s="41">
        <v>0</v>
      </c>
      <c r="O51" s="93">
        <v>0</v>
      </c>
      <c r="P51" s="94">
        <f>($D51-SUM($E51:O51))/1</f>
        <v>0</v>
      </c>
      <c r="Q51" s="64">
        <f t="shared" si="25"/>
        <v>0</v>
      </c>
    </row>
    <row r="52" spans="1:17" x14ac:dyDescent="0.2">
      <c r="A52" s="108" t="s">
        <v>87</v>
      </c>
      <c r="B52" s="108" t="s">
        <v>88</v>
      </c>
      <c r="C52" s="87">
        <v>200</v>
      </c>
      <c r="D52" s="80">
        <v>3000</v>
      </c>
      <c r="E52" s="212">
        <v>655.25</v>
      </c>
      <c r="F52" s="220">
        <v>756.45</v>
      </c>
      <c r="G52" s="219">
        <v>773.32</v>
      </c>
      <c r="H52" s="18">
        <f>($D52-SUM($E52:G52))/9</f>
        <v>90.553333333333342</v>
      </c>
      <c r="I52" s="18">
        <f>($D52-SUM($E52:H52))/8</f>
        <v>90.553333333333342</v>
      </c>
      <c r="J52" s="18">
        <f>($D52-SUM($E52:I52))/7</f>
        <v>90.553333333333356</v>
      </c>
      <c r="K52" s="18">
        <f>($D52-SUM($E52:J52))/6</f>
        <v>90.553333333333356</v>
      </c>
      <c r="L52" s="18">
        <f>($D52-SUM($E52:K52))/5</f>
        <v>90.55333333333337</v>
      </c>
      <c r="M52" s="18">
        <f>($D52-SUM($E52:L52))/4</f>
        <v>90.553333333333399</v>
      </c>
      <c r="N52" s="18">
        <f>($D52-SUM($E52:M52))/3</f>
        <v>90.553333333333441</v>
      </c>
      <c r="O52" s="93">
        <f>($D52-SUM($E52:N52))/2</f>
        <v>90.553333333333512</v>
      </c>
      <c r="P52" s="94">
        <f>($D52-SUM($E52:O52))/1</f>
        <v>90.553333333333285</v>
      </c>
      <c r="Q52" s="64">
        <f t="shared" si="25"/>
        <v>3000</v>
      </c>
    </row>
    <row r="53" spans="1:17" ht="15.75" customHeight="1" x14ac:dyDescent="0.2">
      <c r="A53" s="116" t="s">
        <v>120</v>
      </c>
      <c r="B53" s="116" t="s">
        <v>121</v>
      </c>
      <c r="C53" s="87"/>
      <c r="D53" s="80">
        <v>0</v>
      </c>
      <c r="E53" s="213">
        <f t="shared" si="24"/>
        <v>0</v>
      </c>
      <c r="F53" s="221">
        <v>0</v>
      </c>
      <c r="G53" s="219">
        <f>($D53-SUM($E53:F53))/10</f>
        <v>0</v>
      </c>
      <c r="H53" s="18">
        <f>($D53-SUM($E53:G53))/9</f>
        <v>0</v>
      </c>
      <c r="I53" s="41">
        <f>($D53-SUM($E53:H53))/8</f>
        <v>0</v>
      </c>
      <c r="J53" s="41">
        <f>($D53-SUM($E53:I53))/7</f>
        <v>0</v>
      </c>
      <c r="K53" s="41">
        <f>($D53-SUM($E53:J53))/6</f>
        <v>0</v>
      </c>
      <c r="L53" s="41">
        <f>($D53-SUM($E53:K53))/5</f>
        <v>0</v>
      </c>
      <c r="M53" s="41">
        <f>($D53-SUM($E53:L53))/4</f>
        <v>0</v>
      </c>
      <c r="N53" s="41">
        <f>($D53-SUM($E53:M53))/3</f>
        <v>0</v>
      </c>
      <c r="O53" s="93">
        <f>($D53-SUM($E53:N53))/2</f>
        <v>0</v>
      </c>
      <c r="P53" s="94">
        <f>($D53-SUM($E53:O53))/1</f>
        <v>0</v>
      </c>
      <c r="Q53" s="64">
        <f t="shared" si="25"/>
        <v>0</v>
      </c>
    </row>
    <row r="54" spans="1:17" x14ac:dyDescent="0.2">
      <c r="A54" s="108" t="s">
        <v>51</v>
      </c>
      <c r="B54" s="108" t="s">
        <v>89</v>
      </c>
      <c r="C54" s="87">
        <v>1200</v>
      </c>
      <c r="D54" s="80">
        <v>1200</v>
      </c>
      <c r="E54" s="212">
        <v>140</v>
      </c>
      <c r="F54" s="220">
        <v>505</v>
      </c>
      <c r="G54" s="219">
        <v>269</v>
      </c>
      <c r="H54" s="18">
        <f>($D54-SUM($E54:G54))/9</f>
        <v>31.777777777777779</v>
      </c>
      <c r="I54" s="18">
        <f>($D54-SUM($E54:H54))/8</f>
        <v>31.777777777777771</v>
      </c>
      <c r="J54" s="18">
        <f>($D54-SUM($E54:I54))/7</f>
        <v>31.777777777777764</v>
      </c>
      <c r="K54" s="18">
        <f>($D54-SUM($E54:J54))/6</f>
        <v>31.777777777777771</v>
      </c>
      <c r="L54" s="18">
        <f>($D54-SUM($E54:K54))/5</f>
        <v>31.777777777777782</v>
      </c>
      <c r="M54" s="18">
        <f>($D54-SUM($E54:L54))/4</f>
        <v>31.777777777777771</v>
      </c>
      <c r="N54" s="18">
        <f>($D54-SUM($E54:M54))/3</f>
        <v>31.777777777777754</v>
      </c>
      <c r="O54" s="93">
        <f>($D54-SUM($E54:N54))/2</f>
        <v>31.777777777777715</v>
      </c>
      <c r="P54" s="94">
        <f>($D54-SUM($E54:O54))/1</f>
        <v>31.777777777777828</v>
      </c>
      <c r="Q54" s="64">
        <f t="shared" si="25"/>
        <v>1200</v>
      </c>
    </row>
    <row r="55" spans="1:17" x14ac:dyDescent="0.2">
      <c r="A55" s="108" t="s">
        <v>90</v>
      </c>
      <c r="B55" s="108" t="s">
        <v>91</v>
      </c>
      <c r="C55" s="87">
        <v>9500</v>
      </c>
      <c r="D55" s="80">
        <v>9500</v>
      </c>
      <c r="E55" s="212">
        <v>0</v>
      </c>
      <c r="F55" s="220">
        <v>0</v>
      </c>
      <c r="G55" s="219">
        <v>0</v>
      </c>
      <c r="H55" s="18">
        <f>($D55-SUM($E55:G55))/9</f>
        <v>1055.5555555555557</v>
      </c>
      <c r="I55" s="18">
        <f>($D55-SUM($E55:H55))/8</f>
        <v>1055.5555555555557</v>
      </c>
      <c r="J55" s="18">
        <f>($D55-SUM($E55:I55))/7</f>
        <v>1055.5555555555554</v>
      </c>
      <c r="K55" s="18">
        <f>($D55-SUM($E55:J55))/6</f>
        <v>1055.5555555555554</v>
      </c>
      <c r="L55" s="18">
        <f>($D55-SUM($E55:K55))/5</f>
        <v>1055.5555555555554</v>
      </c>
      <c r="M55" s="18">
        <f>($D55-SUM($E55:L55))/4</f>
        <v>1055.5555555555554</v>
      </c>
      <c r="N55" s="18">
        <f>($D55-SUM($E55:M55))/3</f>
        <v>1055.5555555555554</v>
      </c>
      <c r="O55" s="93">
        <f>($D55-SUM($E55:N55))/2</f>
        <v>1055.5555555555552</v>
      </c>
      <c r="P55" s="94">
        <f>($D55-SUM($E55:O55))/1</f>
        <v>1055.5555555555547</v>
      </c>
      <c r="Q55" s="64">
        <f t="shared" si="25"/>
        <v>9500</v>
      </c>
    </row>
    <row r="56" spans="1:17" x14ac:dyDescent="0.2">
      <c r="A56" s="108" t="s">
        <v>93</v>
      </c>
      <c r="B56" s="108" t="s">
        <v>92</v>
      </c>
      <c r="C56" s="87"/>
      <c r="D56" s="80"/>
      <c r="E56" s="214"/>
      <c r="F56" s="222"/>
      <c r="G56" s="220"/>
      <c r="H56" s="18"/>
      <c r="I56" s="41"/>
      <c r="J56" s="41"/>
      <c r="K56" s="41"/>
      <c r="L56" s="41"/>
      <c r="M56" s="41"/>
      <c r="N56" s="41"/>
      <c r="O56" s="41"/>
      <c r="P56" s="54"/>
      <c r="Q56" s="64">
        <f t="shared" si="25"/>
        <v>0</v>
      </c>
    </row>
    <row r="57" spans="1:17" x14ac:dyDescent="0.2">
      <c r="A57" s="105"/>
      <c r="B57" s="105"/>
      <c r="C57" s="87"/>
      <c r="D57" s="80"/>
      <c r="E57" s="213"/>
      <c r="F57" s="221"/>
      <c r="G57" s="220"/>
      <c r="H57" s="18"/>
      <c r="I57" s="41"/>
      <c r="J57" s="41"/>
      <c r="K57" s="41"/>
      <c r="L57" s="41"/>
      <c r="M57" s="41"/>
      <c r="N57" s="41"/>
      <c r="O57" s="41"/>
      <c r="P57" s="54"/>
      <c r="Q57" s="64">
        <f t="shared" si="25"/>
        <v>0</v>
      </c>
    </row>
    <row r="58" spans="1:17" ht="24" x14ac:dyDescent="0.2">
      <c r="A58" s="195" t="s">
        <v>118</v>
      </c>
      <c r="B58" s="196" t="s">
        <v>119</v>
      </c>
      <c r="C58" s="87"/>
      <c r="D58" s="80"/>
      <c r="E58" s="215"/>
      <c r="F58" s="223"/>
      <c r="G58" s="228"/>
      <c r="H58" s="17"/>
      <c r="I58" s="19"/>
      <c r="J58" s="19"/>
      <c r="K58" s="19"/>
      <c r="L58" s="19"/>
      <c r="M58" s="19"/>
      <c r="N58" s="19"/>
      <c r="O58" s="19"/>
      <c r="P58" s="55"/>
      <c r="Q58" s="64">
        <f t="shared" si="25"/>
        <v>0</v>
      </c>
    </row>
    <row r="59" spans="1:17" ht="25.5" x14ac:dyDescent="0.2">
      <c r="A59" s="124" t="s">
        <v>0</v>
      </c>
      <c r="B59" s="129" t="s">
        <v>109</v>
      </c>
      <c r="C59" s="88">
        <f t="shared" ref="C59:P59" si="26">SUM(C47:C58)</f>
        <v>2495074</v>
      </c>
      <c r="D59" s="81">
        <f t="shared" si="26"/>
        <v>2681011.11</v>
      </c>
      <c r="E59" s="216">
        <f t="shared" si="26"/>
        <v>216404.58000000002</v>
      </c>
      <c r="F59" s="216">
        <f t="shared" si="26"/>
        <v>187256.10000000003</v>
      </c>
      <c r="G59" s="216">
        <f t="shared" si="26"/>
        <v>142983.84</v>
      </c>
      <c r="H59" s="26">
        <f t="shared" si="26"/>
        <v>245752.17</v>
      </c>
      <c r="I59" s="26">
        <f t="shared" si="26"/>
        <v>234328.95000000004</v>
      </c>
      <c r="J59" s="26">
        <f t="shared" si="26"/>
        <v>245752.17</v>
      </c>
      <c r="K59" s="26">
        <f t="shared" si="26"/>
        <v>245752.17</v>
      </c>
      <c r="L59" s="26">
        <f t="shared" si="26"/>
        <v>245752.17</v>
      </c>
      <c r="M59" s="26">
        <f t="shared" si="26"/>
        <v>154366.41000000003</v>
      </c>
      <c r="N59" s="26">
        <f t="shared" si="26"/>
        <v>177212.85</v>
      </c>
      <c r="O59" s="26">
        <f t="shared" si="26"/>
        <v>325714.71000000002</v>
      </c>
      <c r="P59" s="26">
        <f t="shared" si="26"/>
        <v>259734.99000000034</v>
      </c>
    </row>
    <row r="60" spans="1:17" ht="18.75" x14ac:dyDescent="0.3">
      <c r="C60" s="82"/>
      <c r="D60" s="82"/>
      <c r="E60" s="36"/>
      <c r="F60" s="36"/>
      <c r="G60" s="36"/>
      <c r="H60" s="36"/>
      <c r="I60" s="36"/>
      <c r="J60" s="36"/>
      <c r="K60" s="36"/>
      <c r="L60" s="36"/>
      <c r="M60" s="37"/>
      <c r="N60" s="37"/>
      <c r="O60" s="37"/>
      <c r="P60" s="37"/>
    </row>
    <row r="61" spans="1:17" ht="18.75" x14ac:dyDescent="0.3">
      <c r="A61" s="125" t="s">
        <v>20</v>
      </c>
      <c r="B61" s="110"/>
      <c r="C61" s="78"/>
      <c r="D61" s="78"/>
      <c r="E61" s="6"/>
      <c r="F61" s="6"/>
      <c r="G61" s="6"/>
      <c r="H61" s="6"/>
      <c r="I61" s="5"/>
      <c r="J61" s="5"/>
      <c r="K61" s="5"/>
      <c r="L61" s="5"/>
    </row>
    <row r="62" spans="1:17" x14ac:dyDescent="0.2">
      <c r="A62" s="105"/>
      <c r="B62" s="111"/>
      <c r="C62" s="83" t="s">
        <v>6</v>
      </c>
      <c r="D62" s="83" t="s">
        <v>50</v>
      </c>
      <c r="E62" s="205" t="s">
        <v>7</v>
      </c>
      <c r="F62" s="224" t="s">
        <v>8</v>
      </c>
      <c r="G62" s="224" t="s">
        <v>9</v>
      </c>
      <c r="H62" s="44" t="s">
        <v>10</v>
      </c>
      <c r="I62" s="44" t="s">
        <v>2</v>
      </c>
      <c r="J62" s="44" t="s">
        <v>3</v>
      </c>
      <c r="K62" s="44" t="s">
        <v>4</v>
      </c>
      <c r="L62" s="44" t="s">
        <v>5</v>
      </c>
      <c r="M62" s="45" t="s">
        <v>12</v>
      </c>
      <c r="N62" s="45" t="s">
        <v>13</v>
      </c>
      <c r="O62" s="45" t="s">
        <v>14</v>
      </c>
      <c r="P62" s="46" t="s">
        <v>15</v>
      </c>
    </row>
    <row r="63" spans="1:17" x14ac:dyDescent="0.2">
      <c r="A63" s="105"/>
      <c r="B63" s="105"/>
      <c r="C63" s="84"/>
      <c r="D63" s="84"/>
      <c r="E63" s="206" t="s">
        <v>127</v>
      </c>
      <c r="F63" s="206" t="s">
        <v>127</v>
      </c>
      <c r="G63" s="206" t="s">
        <v>127</v>
      </c>
      <c r="H63" s="38" t="s">
        <v>19</v>
      </c>
      <c r="I63" s="38" t="s">
        <v>19</v>
      </c>
      <c r="J63" s="38" t="s">
        <v>19</v>
      </c>
      <c r="K63" s="38" t="s">
        <v>19</v>
      </c>
      <c r="L63" s="38" t="s">
        <v>19</v>
      </c>
      <c r="M63" s="39" t="s">
        <v>19</v>
      </c>
      <c r="N63" s="39" t="s">
        <v>19</v>
      </c>
      <c r="O63" s="39" t="s">
        <v>19</v>
      </c>
      <c r="P63" s="40" t="s">
        <v>19</v>
      </c>
    </row>
    <row r="64" spans="1:17" x14ac:dyDescent="0.2">
      <c r="A64" s="116" t="s">
        <v>94</v>
      </c>
      <c r="B64" s="105" t="s">
        <v>95</v>
      </c>
      <c r="C64" s="89">
        <v>970423</v>
      </c>
      <c r="D64" s="85">
        <f>AVERAGE(E64:G64)*12</f>
        <v>938184.59999999986</v>
      </c>
      <c r="E64" s="207">
        <v>79586.960000000006</v>
      </c>
      <c r="F64" s="225">
        <v>84349.65</v>
      </c>
      <c r="G64" s="225">
        <v>70609.539999999994</v>
      </c>
      <c r="H64" s="52">
        <f>($D64-SUM($E64:G64))/9</f>
        <v>78182.049999999988</v>
      </c>
      <c r="I64" s="52">
        <f>($D64-SUM($E64:H64))/8</f>
        <v>78182.049999999988</v>
      </c>
      <c r="J64" s="52">
        <f>($D64-SUM($E64:I64))/7</f>
        <v>78182.049999999974</v>
      </c>
      <c r="K64" s="52">
        <f>($D64-SUM($E64:J64))/6</f>
        <v>78182.049999999988</v>
      </c>
      <c r="L64" s="52">
        <f>($D64-SUM($E64:K64))/5</f>
        <v>78182.05</v>
      </c>
      <c r="M64" s="52">
        <f>($D64-SUM($E64:L64))/4</f>
        <v>78182.049999999988</v>
      </c>
      <c r="N64" s="52">
        <f>($D64-SUM($E64:M64))/3</f>
        <v>78182.049999999974</v>
      </c>
      <c r="O64" s="52">
        <f>($D64-SUM($E64:N64))/2</f>
        <v>78182.049999999988</v>
      </c>
      <c r="P64" s="61">
        <f>($D64-SUM($E64:O64))</f>
        <v>78182.050000000047</v>
      </c>
      <c r="Q64" s="64">
        <f>SUM(E64:P64)</f>
        <v>938184.59999999986</v>
      </c>
    </row>
    <row r="65" spans="1:30" x14ac:dyDescent="0.2">
      <c r="A65" s="116" t="s">
        <v>96</v>
      </c>
      <c r="B65" s="105" t="s">
        <v>97</v>
      </c>
      <c r="C65" s="84">
        <v>502421</v>
      </c>
      <c r="D65" s="85">
        <f t="shared" ref="D65:D67" si="27">AVERAGE(E65:G65)*12</f>
        <v>441687.24</v>
      </c>
      <c r="E65" s="208">
        <v>40354.300000000003</v>
      </c>
      <c r="F65" s="219">
        <v>32856</v>
      </c>
      <c r="G65" s="219">
        <v>37211.51</v>
      </c>
      <c r="H65" s="41">
        <f>($D65-SUM($E65:G65))/9</f>
        <v>36807.269999999997</v>
      </c>
      <c r="I65" s="41">
        <f>($D65-SUM($E65:H65))/8</f>
        <v>36807.270000000004</v>
      </c>
      <c r="J65" s="41">
        <f>($D65-SUM($E65:I65))/7</f>
        <v>36807.270000000004</v>
      </c>
      <c r="K65" s="41">
        <f>($D65-SUM($E65:J65))/6</f>
        <v>36807.269999999997</v>
      </c>
      <c r="L65" s="41">
        <f>($D65-SUM($E65:K65))/5</f>
        <v>36807.270000000004</v>
      </c>
      <c r="M65" s="41">
        <f>($D65-SUM($E65:L65))/4</f>
        <v>36807.270000000004</v>
      </c>
      <c r="N65" s="41">
        <f>($D65-SUM($E65:M65))/3</f>
        <v>36807.269999999997</v>
      </c>
      <c r="O65" s="41">
        <f>($D65-SUM($E65:N65))/2</f>
        <v>36807.26999999999</v>
      </c>
      <c r="P65" s="61">
        <f>($D65-SUM($E65:O65))</f>
        <v>36807.270000000019</v>
      </c>
      <c r="Q65" s="64">
        <f>SUM(E65:P65)</f>
        <v>441687.24</v>
      </c>
    </row>
    <row r="66" spans="1:30" x14ac:dyDescent="0.2">
      <c r="A66" s="116" t="s">
        <v>98</v>
      </c>
      <c r="B66" s="105" t="s">
        <v>99</v>
      </c>
      <c r="C66" s="90">
        <v>602183</v>
      </c>
      <c r="D66" s="85">
        <f t="shared" si="27"/>
        <v>581445.12</v>
      </c>
      <c r="E66" s="208">
        <v>52842.38</v>
      </c>
      <c r="F66" s="219">
        <v>47492.85</v>
      </c>
      <c r="G66" s="219">
        <v>45026.05</v>
      </c>
      <c r="H66" s="41">
        <f>($D66-SUM($E66:G66))/9</f>
        <v>48453.759999999995</v>
      </c>
      <c r="I66" s="41">
        <f>($D66-SUM($E66:H66))/8</f>
        <v>48453.760000000002</v>
      </c>
      <c r="J66" s="41">
        <f>($D66-SUM($E66:I66))/7</f>
        <v>48453.760000000002</v>
      </c>
      <c r="K66" s="41">
        <f>($D66-SUM($E66:J66))/6</f>
        <v>48453.760000000002</v>
      </c>
      <c r="L66" s="41">
        <f>($D66-SUM($E66:K66))/5</f>
        <v>48453.759999999995</v>
      </c>
      <c r="M66" s="41">
        <f>($D66-SUM($E66:L66))/4</f>
        <v>48453.759999999995</v>
      </c>
      <c r="N66" s="41">
        <f>($D66-SUM($E66:M66))/3</f>
        <v>48453.759999999987</v>
      </c>
      <c r="O66" s="41">
        <f>($D66-SUM($E66:N66))/2</f>
        <v>48453.75999999998</v>
      </c>
      <c r="P66" s="61">
        <f>($D66-SUM($E66:O66))</f>
        <v>48453.760000000009</v>
      </c>
      <c r="Q66" s="64">
        <f>SUM(E66:P66)</f>
        <v>581445.12</v>
      </c>
    </row>
    <row r="67" spans="1:30" s="14" customFormat="1" x14ac:dyDescent="0.2">
      <c r="A67" s="128" t="s">
        <v>100</v>
      </c>
      <c r="B67" s="112" t="s">
        <v>101</v>
      </c>
      <c r="C67" s="91">
        <f>181529+290100+3300</f>
        <v>474929</v>
      </c>
      <c r="D67" s="85">
        <f t="shared" si="27"/>
        <v>999409.08</v>
      </c>
      <c r="E67" s="209">
        <f>21727.48+102662.25+395.37</f>
        <v>124785.09999999999</v>
      </c>
      <c r="F67" s="226">
        <f>21333.57+13323.31</f>
        <v>34656.879999999997</v>
      </c>
      <c r="G67" s="226">
        <f>75351.32+15058.97</f>
        <v>90410.290000000008</v>
      </c>
      <c r="H67" s="19">
        <f>($D67-SUM($E67:G67))/9</f>
        <v>83284.09</v>
      </c>
      <c r="I67" s="19">
        <f>($D67-SUM($E67:H67))/8</f>
        <v>83284.09</v>
      </c>
      <c r="J67" s="19">
        <f>($D67-SUM($E67:I67))/7</f>
        <v>83284.09</v>
      </c>
      <c r="K67" s="19">
        <f>($D67-SUM($E67:J67))/6</f>
        <v>83284.090000000011</v>
      </c>
      <c r="L67" s="19">
        <f>($D67-SUM($E67:K67))/5</f>
        <v>83284.090000000011</v>
      </c>
      <c r="M67" s="19">
        <f>($D67-SUM($E67:L67))/4</f>
        <v>83284.090000000026</v>
      </c>
      <c r="N67" s="19">
        <f>($D67-SUM($E67:M67))/3</f>
        <v>83284.09000000004</v>
      </c>
      <c r="O67" s="19">
        <f>($D67-SUM($E67:N67))/2</f>
        <v>83284.090000000026</v>
      </c>
      <c r="P67" s="62">
        <f>($D67-SUM($E67:O67))</f>
        <v>83284.089999999967</v>
      </c>
      <c r="Q67" s="64">
        <f>SUM(E67:P67)</f>
        <v>999409.08</v>
      </c>
      <c r="R67" s="13"/>
      <c r="S67" s="13"/>
      <c r="T67" s="13"/>
      <c r="U67" s="13"/>
      <c r="V67" s="13"/>
      <c r="W67" s="13"/>
      <c r="X67" s="13"/>
      <c r="Y67" s="13"/>
      <c r="Z67" s="13"/>
      <c r="AA67" s="13"/>
      <c r="AB67" s="13"/>
      <c r="AC67" s="13"/>
      <c r="AD67" s="13"/>
    </row>
    <row r="68" spans="1:30" s="14" customFormat="1" ht="25.5" x14ac:dyDescent="0.2">
      <c r="A68" s="116" t="s">
        <v>102</v>
      </c>
      <c r="B68" s="105" t="s">
        <v>103</v>
      </c>
      <c r="C68" s="78"/>
      <c r="D68" s="6">
        <v>0</v>
      </c>
      <c r="E68" s="24">
        <f>$D68/12</f>
        <v>0</v>
      </c>
      <c r="F68" s="24">
        <f>($D68-SUM(E68:$E68))/11</f>
        <v>0</v>
      </c>
      <c r="G68" s="23">
        <f>($D68-SUM($E68:F68))/10</f>
        <v>0</v>
      </c>
      <c r="H68" s="24">
        <f>($D68-SUM($E68:G68))/9</f>
        <v>0</v>
      </c>
      <c r="I68" s="24">
        <f>($D68-SUM($E68:H68))/8</f>
        <v>0</v>
      </c>
      <c r="J68" s="24">
        <f>($D68-SUM($E68:I68))/7</f>
        <v>0</v>
      </c>
      <c r="K68" s="24">
        <f>($D68-SUM($E68:J68))/6</f>
        <v>0</v>
      </c>
      <c r="L68" s="24">
        <f>($D68-SUM($E68:K68))/5</f>
        <v>0</v>
      </c>
      <c r="M68" s="27">
        <f>($D68-SUM($E68:L68))/4</f>
        <v>0</v>
      </c>
      <c r="N68" s="27">
        <f>($D68-SUM($E68:M68))/3</f>
        <v>0</v>
      </c>
      <c r="O68" s="27">
        <f>($D68-SUM($E68:N68))/2</f>
        <v>0</v>
      </c>
      <c r="P68" s="27">
        <f>($D68-SUM($E68:O68))</f>
        <v>0</v>
      </c>
      <c r="Q68" s="69">
        <f>SUM(E68:P68)</f>
        <v>0</v>
      </c>
      <c r="R68" s="13"/>
      <c r="S68" s="13"/>
      <c r="T68" s="13"/>
      <c r="U68" s="13"/>
      <c r="V68" s="13"/>
      <c r="W68" s="13"/>
      <c r="X68" s="13"/>
      <c r="Y68" s="13"/>
      <c r="Z68" s="13"/>
      <c r="AA68" s="13"/>
      <c r="AB68" s="13"/>
      <c r="AC68" s="13"/>
      <c r="AD68" s="13"/>
    </row>
    <row r="69" spans="1:30" x14ac:dyDescent="0.2">
      <c r="B69" s="105"/>
      <c r="C69" s="92"/>
      <c r="D69" s="5"/>
      <c r="E69" s="28"/>
      <c r="F69" s="28"/>
      <c r="G69" s="28"/>
      <c r="H69" s="28"/>
      <c r="I69" s="28"/>
      <c r="J69" s="29"/>
      <c r="K69" s="28"/>
      <c r="L69" s="29"/>
      <c r="M69" s="30"/>
      <c r="N69" s="30"/>
      <c r="O69" s="30"/>
      <c r="P69" s="30"/>
    </row>
    <row r="70" spans="1:30" ht="25.5" x14ac:dyDescent="0.2">
      <c r="A70" s="124" t="s">
        <v>104</v>
      </c>
      <c r="B70" s="129" t="s">
        <v>109</v>
      </c>
      <c r="C70" s="88">
        <f>SUM(C64:C69)</f>
        <v>2549956</v>
      </c>
      <c r="D70" s="229">
        <f>SUM(D64:D69)</f>
        <v>2960726.04</v>
      </c>
      <c r="E70" s="210">
        <f t="shared" ref="E70:P70" si="28">SUM(E64:E69)</f>
        <v>297568.74</v>
      </c>
      <c r="F70" s="210">
        <f t="shared" si="28"/>
        <v>199355.38</v>
      </c>
      <c r="G70" s="210">
        <f t="shared" si="28"/>
        <v>243257.38999999998</v>
      </c>
      <c r="H70" s="42">
        <f t="shared" si="28"/>
        <v>246727.16999999995</v>
      </c>
      <c r="I70" s="21">
        <f t="shared" si="28"/>
        <v>246727.16999999998</v>
      </c>
      <c r="J70" s="21">
        <f t="shared" si="28"/>
        <v>246727.16999999998</v>
      </c>
      <c r="K70" s="21">
        <f t="shared" si="28"/>
        <v>246727.16999999998</v>
      </c>
      <c r="L70" s="21">
        <f t="shared" si="28"/>
        <v>246727.17000000004</v>
      </c>
      <c r="M70" s="21">
        <f t="shared" si="28"/>
        <v>246727.17</v>
      </c>
      <c r="N70" s="21">
        <f t="shared" si="28"/>
        <v>246727.16999999998</v>
      </c>
      <c r="O70" s="21">
        <f t="shared" si="28"/>
        <v>246727.16999999998</v>
      </c>
      <c r="P70" s="21">
        <f t="shared" si="28"/>
        <v>246727.17000000004</v>
      </c>
    </row>
    <row r="71" spans="1:30" ht="13.5" thickBot="1" x14ac:dyDescent="0.25">
      <c r="A71" s="105"/>
      <c r="B71" s="105"/>
      <c r="C71" s="78"/>
      <c r="D71" s="6"/>
      <c r="E71" s="6"/>
      <c r="F71" s="6"/>
      <c r="G71" s="9"/>
      <c r="H71" s="9"/>
      <c r="I71" s="11"/>
      <c r="J71" s="6"/>
      <c r="K71" s="9"/>
      <c r="L71" s="9"/>
      <c r="M71" s="4"/>
      <c r="N71" s="4"/>
      <c r="O71" s="4"/>
      <c r="P71" s="4"/>
    </row>
    <row r="72" spans="1:30" ht="25.5" x14ac:dyDescent="0.2">
      <c r="A72" s="150" t="s">
        <v>61</v>
      </c>
      <c r="B72" s="151"/>
      <c r="C72" s="130">
        <v>331000</v>
      </c>
      <c r="D72" s="131">
        <v>405622.64</v>
      </c>
      <c r="E72" s="132">
        <f>+D72</f>
        <v>405622.64</v>
      </c>
      <c r="F72" s="133">
        <f t="shared" ref="F72:P72" si="29">+E77</f>
        <v>324458.48</v>
      </c>
      <c r="G72" s="133">
        <f t="shared" si="29"/>
        <v>312359.2</v>
      </c>
      <c r="H72" s="133">
        <f t="shared" si="29"/>
        <v>212085.65000000005</v>
      </c>
      <c r="I72" s="133">
        <f t="shared" si="29"/>
        <v>211110.65000000011</v>
      </c>
      <c r="J72" s="133">
        <f t="shared" si="29"/>
        <v>198712.43000000017</v>
      </c>
      <c r="K72" s="133">
        <f t="shared" si="29"/>
        <v>197737.43000000023</v>
      </c>
      <c r="L72" s="133">
        <f t="shared" si="29"/>
        <v>196762.43000000023</v>
      </c>
      <c r="M72" s="134">
        <f t="shared" si="29"/>
        <v>195787.43000000017</v>
      </c>
      <c r="N72" s="134">
        <f t="shared" si="29"/>
        <v>103426.67000000019</v>
      </c>
      <c r="O72" s="134">
        <f t="shared" si="29"/>
        <v>33912.35000000021</v>
      </c>
      <c r="P72" s="135">
        <f t="shared" si="29"/>
        <v>112899.89000000025</v>
      </c>
    </row>
    <row r="73" spans="1:30" x14ac:dyDescent="0.2">
      <c r="A73" s="152" t="s">
        <v>52</v>
      </c>
      <c r="B73" s="153"/>
      <c r="C73" s="136">
        <f t="shared" ref="C73:P73" si="30">+C59</f>
        <v>2495074</v>
      </c>
      <c r="D73" s="10">
        <f t="shared" si="30"/>
        <v>2681011.11</v>
      </c>
      <c r="E73" s="10">
        <f t="shared" si="30"/>
        <v>216404.58000000002</v>
      </c>
      <c r="F73" s="10">
        <f t="shared" si="30"/>
        <v>187256.10000000003</v>
      </c>
      <c r="G73" s="10">
        <f t="shared" si="30"/>
        <v>142983.84</v>
      </c>
      <c r="H73" s="10">
        <f t="shared" si="30"/>
        <v>245752.17</v>
      </c>
      <c r="I73" s="10">
        <f t="shared" si="30"/>
        <v>234328.95000000004</v>
      </c>
      <c r="J73" s="10">
        <f t="shared" si="30"/>
        <v>245752.17</v>
      </c>
      <c r="K73" s="10">
        <f t="shared" si="30"/>
        <v>245752.17</v>
      </c>
      <c r="L73" s="10">
        <f t="shared" si="30"/>
        <v>245752.17</v>
      </c>
      <c r="M73" s="137">
        <f t="shared" si="30"/>
        <v>154366.41000000003</v>
      </c>
      <c r="N73" s="137">
        <f t="shared" si="30"/>
        <v>177212.85</v>
      </c>
      <c r="O73" s="137">
        <f t="shared" si="30"/>
        <v>325714.71000000002</v>
      </c>
      <c r="P73" s="138">
        <f t="shared" si="30"/>
        <v>259734.99000000034</v>
      </c>
    </row>
    <row r="74" spans="1:30" x14ac:dyDescent="0.2">
      <c r="A74" s="152" t="s">
        <v>53</v>
      </c>
      <c r="B74" s="153"/>
      <c r="C74" s="136">
        <f>-C70</f>
        <v>-2549956</v>
      </c>
      <c r="D74" s="10">
        <f>-D70</f>
        <v>-2960726.04</v>
      </c>
      <c r="E74" s="10">
        <f t="shared" ref="E74:P74" si="31">-E70</f>
        <v>-297568.74</v>
      </c>
      <c r="F74" s="10">
        <f t="shared" si="31"/>
        <v>-199355.38</v>
      </c>
      <c r="G74" s="10">
        <f t="shared" si="31"/>
        <v>-243257.38999999998</v>
      </c>
      <c r="H74" s="10">
        <f t="shared" si="31"/>
        <v>-246727.16999999995</v>
      </c>
      <c r="I74" s="10">
        <f t="shared" si="31"/>
        <v>-246727.16999999998</v>
      </c>
      <c r="J74" s="10">
        <f t="shared" si="31"/>
        <v>-246727.16999999998</v>
      </c>
      <c r="K74" s="10">
        <f t="shared" si="31"/>
        <v>-246727.16999999998</v>
      </c>
      <c r="L74" s="10">
        <f t="shared" si="31"/>
        <v>-246727.17000000004</v>
      </c>
      <c r="M74" s="137">
        <f t="shared" si="31"/>
        <v>-246727.17</v>
      </c>
      <c r="N74" s="137">
        <f t="shared" si="31"/>
        <v>-246727.16999999998</v>
      </c>
      <c r="O74" s="137">
        <f t="shared" si="31"/>
        <v>-246727.16999999998</v>
      </c>
      <c r="P74" s="138">
        <f t="shared" si="31"/>
        <v>-246727.17000000004</v>
      </c>
    </row>
    <row r="75" spans="1:30" x14ac:dyDescent="0.2">
      <c r="A75" s="154" t="s">
        <v>105</v>
      </c>
      <c r="B75" s="155" t="s">
        <v>106</v>
      </c>
      <c r="C75" s="136">
        <f>-C71</f>
        <v>0</v>
      </c>
      <c r="D75" s="139">
        <f>-D71</f>
        <v>0</v>
      </c>
      <c r="E75" s="140">
        <v>0</v>
      </c>
      <c r="F75" s="140">
        <v>0</v>
      </c>
      <c r="G75" s="140">
        <v>0</v>
      </c>
      <c r="H75" s="140">
        <v>0</v>
      </c>
      <c r="I75" s="140">
        <v>0</v>
      </c>
      <c r="J75" s="140">
        <v>0</v>
      </c>
      <c r="K75" s="140">
        <v>0</v>
      </c>
      <c r="L75" s="140">
        <v>0</v>
      </c>
      <c r="M75" s="141">
        <v>0</v>
      </c>
      <c r="N75" s="141">
        <v>0</v>
      </c>
      <c r="O75" s="141">
        <v>0</v>
      </c>
      <c r="P75" s="142">
        <v>0</v>
      </c>
    </row>
    <row r="76" spans="1:30" ht="13.5" thickBot="1" x14ac:dyDescent="0.25">
      <c r="A76" s="156" t="s">
        <v>107</v>
      </c>
      <c r="B76" s="157" t="s">
        <v>92</v>
      </c>
      <c r="C76" s="143">
        <f>+C75</f>
        <v>0</v>
      </c>
      <c r="D76" s="144">
        <f>+D75</f>
        <v>0</v>
      </c>
      <c r="E76" s="144"/>
      <c r="F76" s="145"/>
      <c r="G76" s="145"/>
      <c r="H76" s="146"/>
      <c r="I76" s="146"/>
      <c r="J76" s="146"/>
      <c r="K76" s="146"/>
      <c r="L76" s="146"/>
      <c r="M76" s="147"/>
      <c r="N76" s="147"/>
      <c r="O76" s="147"/>
      <c r="P76" s="148"/>
    </row>
    <row r="77" spans="1:30" ht="26.25" thickBot="1" x14ac:dyDescent="0.25">
      <c r="A77" s="158" t="s">
        <v>108</v>
      </c>
      <c r="B77" s="159" t="s">
        <v>109</v>
      </c>
      <c r="C77" s="160">
        <f>SUM(C72:C76)</f>
        <v>276118</v>
      </c>
      <c r="D77" s="161">
        <f>SUM(D72:D76)</f>
        <v>125907.70999999996</v>
      </c>
      <c r="E77" s="217">
        <f t="shared" ref="E77:P77" si="32">SUM(E72:E76)</f>
        <v>324458.48</v>
      </c>
      <c r="F77" s="217">
        <f t="shared" si="32"/>
        <v>312359.2</v>
      </c>
      <c r="G77" s="217">
        <f t="shared" si="32"/>
        <v>212085.65000000005</v>
      </c>
      <c r="H77" s="162">
        <f t="shared" si="32"/>
        <v>211110.65000000011</v>
      </c>
      <c r="I77" s="161">
        <f t="shared" si="32"/>
        <v>198712.43000000017</v>
      </c>
      <c r="J77" s="161">
        <f t="shared" si="32"/>
        <v>197737.43000000023</v>
      </c>
      <c r="K77" s="161">
        <f t="shared" si="32"/>
        <v>196762.43000000023</v>
      </c>
      <c r="L77" s="161">
        <f t="shared" si="32"/>
        <v>195787.43000000017</v>
      </c>
      <c r="M77" s="163">
        <f t="shared" si="32"/>
        <v>103426.67000000019</v>
      </c>
      <c r="N77" s="163">
        <f t="shared" si="32"/>
        <v>33912.35000000021</v>
      </c>
      <c r="O77" s="163">
        <f t="shared" si="32"/>
        <v>112899.89000000025</v>
      </c>
      <c r="P77" s="164">
        <f t="shared" si="32"/>
        <v>125907.71000000054</v>
      </c>
    </row>
    <row r="78" spans="1:30" x14ac:dyDescent="0.2">
      <c r="A78" s="126"/>
      <c r="B78" s="113"/>
      <c r="C78" s="149"/>
      <c r="D78" s="10"/>
      <c r="E78" s="6"/>
      <c r="F78" s="6"/>
      <c r="G78" s="6"/>
      <c r="H78" s="6"/>
      <c r="I78" s="6"/>
      <c r="J78" s="5"/>
      <c r="K78" s="5"/>
      <c r="L78" s="5"/>
      <c r="P78" s="3"/>
    </row>
    <row r="79" spans="1:30" x14ac:dyDescent="0.2">
      <c r="A79" s="165" t="s">
        <v>72</v>
      </c>
      <c r="B79" s="114"/>
      <c r="C79" s="95"/>
      <c r="D79" s="96"/>
      <c r="E79" s="96"/>
      <c r="F79" s="96"/>
      <c r="G79" s="97"/>
      <c r="H79" s="98"/>
      <c r="I79" s="99"/>
      <c r="J79" s="99"/>
      <c r="K79" s="99"/>
      <c r="L79" s="8"/>
      <c r="N79" s="3"/>
      <c r="P79" s="3"/>
    </row>
    <row r="80" spans="1:30" ht="51" x14ac:dyDescent="0.2">
      <c r="A80" s="104" t="s">
        <v>55</v>
      </c>
      <c r="B80" s="104"/>
      <c r="C80" s="7"/>
      <c r="D80" s="5"/>
      <c r="E80" s="8"/>
      <c r="F80" s="5"/>
      <c r="G80" s="6"/>
      <c r="H80" s="6"/>
      <c r="I80" s="5"/>
      <c r="J80" s="5"/>
      <c r="K80" s="8"/>
      <c r="L80" s="5"/>
      <c r="O80" s="3"/>
      <c r="P80" s="3"/>
    </row>
    <row r="81" spans="1:30" ht="15" customHeight="1" x14ac:dyDescent="0.2">
      <c r="A81" s="109" t="s">
        <v>56</v>
      </c>
      <c r="B81" s="115"/>
      <c r="C81"/>
      <c r="D81"/>
      <c r="E81"/>
      <c r="F81"/>
      <c r="G81"/>
      <c r="J81" s="3"/>
    </row>
    <row r="82" spans="1:30" ht="15" customHeight="1" x14ac:dyDescent="0.2">
      <c r="A82" s="109" t="s">
        <v>56</v>
      </c>
      <c r="B82" s="115"/>
      <c r="C82"/>
      <c r="D82"/>
      <c r="E82"/>
      <c r="F82"/>
      <c r="G82"/>
      <c r="H82" s="35"/>
      <c r="K82" s="3"/>
    </row>
    <row r="83" spans="1:30" ht="15" customHeight="1" x14ac:dyDescent="0.2">
      <c r="A83" s="109" t="s">
        <v>56</v>
      </c>
      <c r="B83" s="115"/>
      <c r="C83"/>
      <c r="D83"/>
      <c r="E83"/>
      <c r="F83"/>
      <c r="G83"/>
    </row>
    <row r="84" spans="1:30" s="170" customFormat="1" ht="15" customHeight="1" x14ac:dyDescent="0.2">
      <c r="A84" s="166"/>
      <c r="B84" s="174" t="s">
        <v>110</v>
      </c>
      <c r="C84" s="168"/>
      <c r="D84" s="168"/>
      <c r="E84" s="168"/>
      <c r="F84" s="168"/>
      <c r="G84" s="168"/>
      <c r="H84" s="169"/>
      <c r="Q84" s="168"/>
      <c r="R84" s="168"/>
      <c r="S84" s="168"/>
      <c r="T84" s="168"/>
      <c r="U84" s="168"/>
      <c r="V84" s="168"/>
      <c r="W84" s="168"/>
      <c r="X84" s="168"/>
      <c r="Y84" s="168"/>
      <c r="Z84" s="168"/>
      <c r="AA84" s="168"/>
      <c r="AB84" s="168"/>
      <c r="AC84" s="168"/>
      <c r="AD84" s="168"/>
    </row>
    <row r="85" spans="1:30" s="170" customFormat="1" ht="15" customHeight="1" x14ac:dyDescent="0.2">
      <c r="A85" s="171"/>
      <c r="B85" s="167" t="s">
        <v>111</v>
      </c>
      <c r="C85" s="168"/>
      <c r="D85" s="168"/>
      <c r="E85" s="168"/>
      <c r="F85" s="168"/>
      <c r="G85" s="168"/>
      <c r="H85" s="169"/>
      <c r="Q85" s="168"/>
      <c r="R85" s="168"/>
      <c r="S85" s="168"/>
      <c r="T85" s="168"/>
      <c r="U85" s="168"/>
      <c r="V85" s="168"/>
      <c r="W85" s="168"/>
      <c r="X85" s="168"/>
      <c r="Y85" s="168"/>
      <c r="Z85" s="168"/>
      <c r="AA85" s="168"/>
      <c r="AB85" s="168"/>
      <c r="AC85" s="168"/>
      <c r="AD85" s="168"/>
    </row>
    <row r="86" spans="1:30" s="170" customFormat="1" ht="16.5" customHeight="1" x14ac:dyDescent="0.2">
      <c r="A86" s="173"/>
      <c r="B86" s="174" t="s">
        <v>112</v>
      </c>
      <c r="C86" s="168"/>
      <c r="D86" s="168"/>
      <c r="E86" s="168"/>
      <c r="F86" s="168"/>
      <c r="G86" s="168"/>
      <c r="H86" s="169"/>
      <c r="Q86" s="168"/>
      <c r="R86" s="168"/>
      <c r="S86" s="168"/>
      <c r="T86" s="168"/>
      <c r="U86" s="168"/>
      <c r="V86" s="168"/>
      <c r="W86" s="168"/>
      <c r="X86" s="168"/>
      <c r="Y86" s="168"/>
      <c r="Z86" s="168"/>
      <c r="AA86" s="168"/>
      <c r="AB86" s="168"/>
      <c r="AC86" s="168"/>
      <c r="AD86" s="168"/>
    </row>
    <row r="87" spans="1:30" s="170" customFormat="1" ht="16.5" customHeight="1" thickBot="1" x14ac:dyDescent="0.25">
      <c r="A87" s="191"/>
      <c r="B87" s="172"/>
      <c r="C87" s="168"/>
      <c r="D87" s="168"/>
      <c r="E87" s="168"/>
      <c r="F87" s="168"/>
      <c r="G87" s="168"/>
      <c r="H87" s="169"/>
      <c r="Q87" s="168"/>
      <c r="R87" s="168"/>
      <c r="S87" s="168"/>
      <c r="T87" s="168"/>
      <c r="U87" s="168"/>
      <c r="V87" s="168"/>
      <c r="W87" s="168"/>
      <c r="X87" s="168"/>
      <c r="Y87" s="168"/>
      <c r="Z87" s="168"/>
      <c r="AA87" s="168"/>
      <c r="AB87" s="168"/>
      <c r="AC87" s="168"/>
      <c r="AD87" s="168"/>
    </row>
    <row r="88" spans="1:30" s="181" customFormat="1" ht="27.75" customHeight="1" x14ac:dyDescent="0.2">
      <c r="A88" s="175" t="s">
        <v>79</v>
      </c>
      <c r="B88" s="176"/>
      <c r="C88" s="176"/>
      <c r="D88" s="176"/>
      <c r="E88" s="176"/>
      <c r="F88" s="176"/>
      <c r="G88" s="176"/>
      <c r="H88" s="177"/>
      <c r="I88" s="178"/>
      <c r="J88" s="178"/>
      <c r="K88" s="178"/>
      <c r="L88" s="178"/>
      <c r="M88" s="178"/>
      <c r="N88" s="178"/>
      <c r="O88" s="178"/>
      <c r="P88" s="179"/>
      <c r="Q88" s="180"/>
      <c r="R88" s="180"/>
      <c r="S88" s="180"/>
      <c r="T88" s="180"/>
      <c r="U88" s="180"/>
      <c r="V88" s="180"/>
      <c r="W88" s="180"/>
      <c r="X88" s="180"/>
      <c r="Y88" s="180"/>
      <c r="Z88" s="180"/>
      <c r="AA88" s="180"/>
      <c r="AB88" s="180"/>
      <c r="AC88" s="180"/>
      <c r="AD88" s="180"/>
    </row>
    <row r="89" spans="1:30" s="181" customFormat="1" ht="30" customHeight="1" x14ac:dyDescent="0.2">
      <c r="A89" s="182" t="s">
        <v>80</v>
      </c>
      <c r="B89" s="180"/>
      <c r="C89" s="180"/>
      <c r="D89" s="183"/>
      <c r="E89" s="183"/>
      <c r="F89" s="183"/>
      <c r="G89" s="183"/>
      <c r="H89" s="183"/>
      <c r="P89" s="184"/>
      <c r="Q89" s="180"/>
      <c r="R89" s="180"/>
      <c r="S89" s="180"/>
      <c r="T89" s="180"/>
      <c r="U89" s="180"/>
      <c r="V89" s="180"/>
      <c r="W89" s="180"/>
      <c r="X89" s="180"/>
      <c r="Y89" s="180"/>
      <c r="Z89" s="180"/>
      <c r="AA89" s="180"/>
      <c r="AB89" s="180"/>
      <c r="AC89" s="180"/>
      <c r="AD89" s="180"/>
    </row>
    <row r="90" spans="1:30" s="181" customFormat="1" ht="34.5" customHeight="1" x14ac:dyDescent="0.2">
      <c r="A90" s="182" t="s">
        <v>81</v>
      </c>
      <c r="B90" s="180"/>
      <c r="C90" s="180"/>
      <c r="D90" s="180"/>
      <c r="E90" s="180"/>
      <c r="F90" s="180"/>
      <c r="G90" s="180"/>
      <c r="H90" s="183"/>
      <c r="P90" s="184"/>
      <c r="Q90" s="180"/>
      <c r="R90" s="180"/>
      <c r="S90" s="180"/>
      <c r="T90" s="180"/>
      <c r="U90" s="180"/>
      <c r="V90" s="180"/>
      <c r="W90" s="180"/>
      <c r="X90" s="180"/>
      <c r="Y90" s="180"/>
      <c r="Z90" s="180"/>
      <c r="AA90" s="180"/>
      <c r="AB90" s="180"/>
      <c r="AC90" s="180"/>
      <c r="AD90" s="180"/>
    </row>
    <row r="91" spans="1:30" s="181" customFormat="1" ht="32.25" customHeight="1" thickBot="1" x14ac:dyDescent="0.25">
      <c r="A91" s="185" t="s">
        <v>82</v>
      </c>
      <c r="B91" s="186"/>
      <c r="C91" s="186"/>
      <c r="D91" s="186"/>
      <c r="E91" s="186"/>
      <c r="F91" s="186"/>
      <c r="G91" s="186"/>
      <c r="H91" s="187"/>
      <c r="I91" s="188"/>
      <c r="J91" s="188"/>
      <c r="K91" s="188"/>
      <c r="L91" s="188"/>
      <c r="M91" s="188"/>
      <c r="N91" s="188"/>
      <c r="O91" s="188"/>
      <c r="P91" s="189"/>
      <c r="Q91" s="180"/>
      <c r="R91" s="180"/>
      <c r="S91" s="180"/>
      <c r="T91" s="180"/>
      <c r="U91" s="180"/>
      <c r="V91" s="180"/>
      <c r="W91" s="180"/>
      <c r="X91" s="180"/>
      <c r="Y91" s="180"/>
      <c r="Z91" s="180"/>
      <c r="AA91" s="180"/>
      <c r="AB91" s="180"/>
      <c r="AC91" s="180"/>
      <c r="AD91" s="180"/>
    </row>
    <row r="92" spans="1:30" s="181" customFormat="1" ht="13.5" customHeight="1" x14ac:dyDescent="0.2">
      <c r="B92" s="180"/>
      <c r="C92" s="180"/>
      <c r="D92" s="180"/>
      <c r="E92" s="180"/>
      <c r="F92" s="180"/>
      <c r="G92" s="180"/>
      <c r="H92" s="183"/>
      <c r="Q92" s="180"/>
      <c r="R92" s="180"/>
      <c r="S92" s="180"/>
      <c r="T92" s="180"/>
      <c r="U92" s="180"/>
      <c r="V92" s="180"/>
      <c r="W92" s="180"/>
      <c r="X92" s="180"/>
      <c r="Y92" s="180"/>
      <c r="Z92" s="180"/>
      <c r="AA92" s="180"/>
      <c r="AB92" s="180"/>
      <c r="AC92" s="180"/>
      <c r="AD92" s="180"/>
    </row>
    <row r="93" spans="1:30" s="170" customFormat="1" ht="13.5" customHeight="1" x14ac:dyDescent="0.2">
      <c r="A93" s="190" t="s">
        <v>71</v>
      </c>
      <c r="B93" s="168"/>
      <c r="C93" s="168"/>
      <c r="D93" s="168"/>
      <c r="E93" s="168"/>
      <c r="F93" s="168"/>
      <c r="G93" s="168"/>
      <c r="H93" s="169"/>
      <c r="Q93" s="168"/>
      <c r="R93" s="168"/>
      <c r="S93" s="168"/>
      <c r="T93" s="168"/>
      <c r="U93" s="168"/>
      <c r="V93" s="168"/>
      <c r="W93" s="168"/>
      <c r="X93" s="168"/>
      <c r="Y93" s="168"/>
      <c r="Z93" s="168"/>
      <c r="AA93" s="168"/>
      <c r="AB93" s="168"/>
      <c r="AC93" s="168"/>
      <c r="AD93" s="168"/>
    </row>
    <row r="94" spans="1:30" s="170" customFormat="1" ht="13.5" customHeight="1" x14ac:dyDescent="0.2">
      <c r="B94" s="168"/>
      <c r="C94" s="168"/>
      <c r="D94" s="169"/>
      <c r="E94" s="169"/>
      <c r="F94" s="169"/>
      <c r="G94" s="169"/>
      <c r="H94" s="169"/>
      <c r="Q94" s="168"/>
      <c r="R94" s="168"/>
      <c r="S94" s="168"/>
      <c r="T94" s="168"/>
      <c r="U94" s="168"/>
      <c r="V94" s="168"/>
      <c r="W94" s="168"/>
      <c r="X94" s="168"/>
      <c r="Y94" s="168"/>
      <c r="Z94" s="168"/>
      <c r="AA94" s="168"/>
      <c r="AB94" s="168"/>
      <c r="AC94" s="168"/>
      <c r="AD94" s="168"/>
    </row>
    <row r="95" spans="1:30" ht="13.5" customHeight="1" x14ac:dyDescent="0.2">
      <c r="B95" s="115"/>
      <c r="C95"/>
    </row>
    <row r="96" spans="1:30" ht="13.5" customHeight="1" x14ac:dyDescent="0.2">
      <c r="B96" s="115"/>
      <c r="C96"/>
    </row>
    <row r="97" spans="2:3" ht="13.5" customHeight="1" x14ac:dyDescent="0.2">
      <c r="B97" s="115"/>
      <c r="C97"/>
    </row>
    <row r="98" spans="2:3" ht="15" customHeight="1" x14ac:dyDescent="0.2">
      <c r="B98" s="115"/>
      <c r="C98"/>
    </row>
    <row r="99" spans="2:3" ht="12.75" customHeight="1" x14ac:dyDescent="0.2">
      <c r="B99" s="115"/>
      <c r="C99"/>
    </row>
    <row r="100" spans="2:3" ht="15" customHeight="1" x14ac:dyDescent="0.2">
      <c r="B100" s="115"/>
      <c r="C100"/>
    </row>
    <row r="101" spans="2:3" ht="15" customHeight="1" x14ac:dyDescent="0.2">
      <c r="B101" s="115"/>
      <c r="C101"/>
    </row>
    <row r="102" spans="2:3" ht="12" customHeight="1" x14ac:dyDescent="0.2">
      <c r="B102" s="115"/>
      <c r="C102"/>
    </row>
    <row r="103" spans="2:3" ht="14.25" customHeight="1" x14ac:dyDescent="0.2">
      <c r="B103" s="115"/>
      <c r="C103"/>
    </row>
    <row r="104" spans="2:3" ht="12.75" customHeight="1" x14ac:dyDescent="0.2">
      <c r="B104" s="115"/>
      <c r="C104"/>
    </row>
    <row r="105" spans="2:3" ht="12.75" customHeight="1" x14ac:dyDescent="0.2">
      <c r="B105" s="115"/>
      <c r="C105"/>
    </row>
    <row r="106" spans="2:3" ht="12.75" customHeight="1" x14ac:dyDescent="0.2">
      <c r="B106" s="115"/>
      <c r="C106"/>
    </row>
    <row r="107" spans="2:3" ht="12.75" customHeight="1" x14ac:dyDescent="0.2">
      <c r="B107" s="115"/>
      <c r="C107"/>
    </row>
    <row r="108" spans="2:3" ht="12.75" customHeight="1" x14ac:dyDescent="0.2">
      <c r="B108" s="115"/>
      <c r="C108"/>
    </row>
    <row r="109" spans="2:3" x14ac:dyDescent="0.2">
      <c r="B109" s="115"/>
      <c r="C109"/>
    </row>
    <row r="110" spans="2:3" x14ac:dyDescent="0.2">
      <c r="B110" s="115"/>
      <c r="C110"/>
    </row>
  </sheetData>
  <mergeCells count="1">
    <mergeCell ref="A1:L1"/>
  </mergeCells>
  <phoneticPr fontId="0" type="noConversion"/>
  <conditionalFormatting sqref="Q39:Q44 Q9:Q14 Q37 Q16:Q31">
    <cfRule type="cellIs" dxfId="8" priority="9" stopIfTrue="1" operator="notEqual">
      <formula>$D$9</formula>
    </cfRule>
  </conditionalFormatting>
  <conditionalFormatting sqref="Q64:Q68">
    <cfRule type="cellIs" dxfId="7" priority="7" stopIfTrue="1" operator="notEqual">
      <formula>$D$9</formula>
    </cfRule>
  </conditionalFormatting>
  <conditionalFormatting sqref="Q50:Q58">
    <cfRule type="cellIs" dxfId="6" priority="8" stopIfTrue="1" operator="notEqual">
      <formula>$D$9</formula>
    </cfRule>
  </conditionalFormatting>
  <conditionalFormatting sqref="Q15">
    <cfRule type="cellIs" dxfId="5" priority="6" stopIfTrue="1" operator="notEqual">
      <formula>$D$9</formula>
    </cfRule>
  </conditionalFormatting>
  <conditionalFormatting sqref="Q38">
    <cfRule type="cellIs" dxfId="4" priority="5" stopIfTrue="1" operator="notEqual">
      <formula>$D$9</formula>
    </cfRule>
  </conditionalFormatting>
  <conditionalFormatting sqref="Q36">
    <cfRule type="cellIs" dxfId="3" priority="4" stopIfTrue="1" operator="notEqual">
      <formula>$D$9</formula>
    </cfRule>
  </conditionalFormatting>
  <conditionalFormatting sqref="Q32:Q33">
    <cfRule type="cellIs" dxfId="2" priority="3" stopIfTrue="1" operator="notEqual">
      <formula>$D$9</formula>
    </cfRule>
  </conditionalFormatting>
  <conditionalFormatting sqref="Q34:Q35">
    <cfRule type="cellIs" dxfId="1" priority="2" stopIfTrue="1" operator="notEqual">
      <formula>$D$9</formula>
    </cfRule>
  </conditionalFormatting>
  <conditionalFormatting sqref="Q45:Q46">
    <cfRule type="cellIs" dxfId="0" priority="1" stopIfTrue="1" operator="notEqual">
      <formula>$D$9</formula>
    </cfRule>
  </conditionalFormatting>
  <pageMargins left="0.43" right="0.46" top="0.4" bottom="0.3" header="0.38" footer="0.41"/>
  <pageSetup paperSize="5" scale="55" orientation="landscape" r:id="rId1"/>
  <headerFooter alignWithMargins="0"/>
  <rowBreaks count="2" manualBreakCount="2">
    <brk id="59" max="16383" man="1"/>
    <brk id="79"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D10"/>
  <sheetViews>
    <sheetView workbookViewId="0">
      <selection activeCell="I17" sqref="I17"/>
    </sheetView>
  </sheetViews>
  <sheetFormatPr defaultRowHeight="12.75" x14ac:dyDescent="0.2"/>
  <cols>
    <col min="1" max="1" width="24.5703125" customWidth="1"/>
    <col min="2" max="2" width="21.140625" bestFit="1" customWidth="1"/>
    <col min="3" max="3" width="16.5703125" bestFit="1" customWidth="1"/>
    <col min="4" max="4" width="18.5703125" bestFit="1" customWidth="1"/>
    <col min="5" max="5" width="15.85546875" bestFit="1" customWidth="1"/>
    <col min="6" max="6" width="12.85546875" bestFit="1" customWidth="1"/>
    <col min="7" max="8" width="15.140625" bestFit="1" customWidth="1"/>
    <col min="9" max="16" width="21.85546875" customWidth="1"/>
    <col min="17" max="17" width="11.5703125" bestFit="1" customWidth="1"/>
  </cols>
  <sheetData>
    <row r="3" spans="1:30" s="1" customFormat="1" ht="15.75" x14ac:dyDescent="0.25">
      <c r="A3" s="117"/>
      <c r="B3" s="101"/>
      <c r="C3" s="43" t="s">
        <v>18</v>
      </c>
      <c r="D3" s="44" t="s">
        <v>24</v>
      </c>
      <c r="E3" s="44" t="s">
        <v>7</v>
      </c>
      <c r="F3" s="44" t="s">
        <v>8</v>
      </c>
      <c r="G3" s="44" t="s">
        <v>9</v>
      </c>
      <c r="H3" s="44" t="s">
        <v>10</v>
      </c>
      <c r="I3" s="38" t="s">
        <v>2</v>
      </c>
      <c r="J3" s="38" t="s">
        <v>3</v>
      </c>
      <c r="K3" s="38" t="s">
        <v>4</v>
      </c>
      <c r="L3" s="38" t="s">
        <v>5</v>
      </c>
      <c r="M3" s="47" t="s">
        <v>12</v>
      </c>
      <c r="N3" s="47" t="s">
        <v>13</v>
      </c>
      <c r="O3" s="47" t="s">
        <v>14</v>
      </c>
      <c r="P3" s="48" t="s">
        <v>15</v>
      </c>
      <c r="Q3"/>
      <c r="R3"/>
      <c r="S3"/>
      <c r="T3"/>
      <c r="U3"/>
      <c r="V3"/>
      <c r="W3"/>
      <c r="X3"/>
      <c r="Y3"/>
      <c r="Z3"/>
      <c r="AA3"/>
      <c r="AB3"/>
      <c r="AC3"/>
      <c r="AD3"/>
    </row>
    <row r="4" spans="1:30" s="1" customFormat="1" x14ac:dyDescent="0.2">
      <c r="A4" s="118" t="s">
        <v>60</v>
      </c>
      <c r="B4" s="102"/>
      <c r="C4" s="65">
        <f>'Fund Balance Projection'!C5</f>
        <v>78.5</v>
      </c>
      <c r="D4" s="65">
        <f>'Fund Balance Projection'!D5</f>
        <v>78.5</v>
      </c>
      <c r="E4" s="65">
        <f>'Fund Balance Projection'!E5</f>
        <v>70</v>
      </c>
      <c r="F4" s="65">
        <f>'Fund Balance Projection'!F5</f>
        <v>70</v>
      </c>
      <c r="G4" s="65">
        <f>'Fund Balance Projection'!G5</f>
        <v>73</v>
      </c>
      <c r="H4" s="65">
        <f>'Fund Balance Projection'!H5</f>
        <v>0</v>
      </c>
      <c r="I4" s="65">
        <f>'Fund Balance Projection'!I5</f>
        <v>0</v>
      </c>
      <c r="J4" s="65">
        <f>'Fund Balance Projection'!J5</f>
        <v>0</v>
      </c>
      <c r="K4" s="65">
        <f>'Fund Balance Projection'!K5</f>
        <v>0</v>
      </c>
      <c r="L4" s="65">
        <f>'Fund Balance Projection'!L5</f>
        <v>0</v>
      </c>
      <c r="M4" s="65">
        <f>'Fund Balance Projection'!M5</f>
        <v>0</v>
      </c>
      <c r="N4" s="65">
        <f>'Fund Balance Projection'!N5</f>
        <v>0</v>
      </c>
      <c r="O4" s="65">
        <f>'Fund Balance Projection'!O5</f>
        <v>0</v>
      </c>
      <c r="P4" s="65">
        <f>'Fund Balance Projection'!P5</f>
        <v>0</v>
      </c>
      <c r="Q4"/>
      <c r="R4"/>
      <c r="S4"/>
      <c r="T4"/>
      <c r="U4"/>
      <c r="V4"/>
      <c r="W4"/>
      <c r="X4"/>
      <c r="Y4"/>
      <c r="Z4"/>
      <c r="AA4"/>
      <c r="AB4"/>
      <c r="AC4"/>
      <c r="AD4"/>
    </row>
    <row r="5" spans="1:30" s="1" customFormat="1" x14ac:dyDescent="0.2">
      <c r="A5" s="119" t="s">
        <v>59</v>
      </c>
      <c r="B5" s="103" t="s">
        <v>78</v>
      </c>
      <c r="C5" s="43" t="s">
        <v>18</v>
      </c>
      <c r="D5" s="44" t="s">
        <v>24</v>
      </c>
      <c r="E5" s="68" t="s">
        <v>70</v>
      </c>
      <c r="F5" s="68" t="s">
        <v>73</v>
      </c>
      <c r="G5" s="68" t="s">
        <v>77</v>
      </c>
      <c r="H5" s="68" t="s">
        <v>66</v>
      </c>
      <c r="I5" s="39" t="s">
        <v>74</v>
      </c>
      <c r="J5" s="39" t="s">
        <v>67</v>
      </c>
      <c r="K5" s="39" t="s">
        <v>68</v>
      </c>
      <c r="L5" s="39" t="s">
        <v>69</v>
      </c>
      <c r="M5" s="47" t="s">
        <v>75</v>
      </c>
      <c r="N5" s="47" t="s">
        <v>64</v>
      </c>
      <c r="O5" s="47" t="s">
        <v>76</v>
      </c>
      <c r="P5" s="48" t="s">
        <v>65</v>
      </c>
      <c r="Q5" s="63" t="s">
        <v>58</v>
      </c>
      <c r="R5"/>
      <c r="S5"/>
      <c r="T5"/>
      <c r="U5"/>
      <c r="V5"/>
      <c r="W5"/>
      <c r="X5"/>
      <c r="Y5"/>
      <c r="Z5"/>
      <c r="AA5"/>
      <c r="AB5"/>
      <c r="AC5"/>
      <c r="AD5"/>
    </row>
    <row r="6" spans="1:30" s="1" customFormat="1" x14ac:dyDescent="0.2">
      <c r="A6" s="105"/>
      <c r="B6" s="104"/>
      <c r="C6" s="70" t="s">
        <v>6</v>
      </c>
      <c r="D6" s="74" t="s">
        <v>44</v>
      </c>
      <c r="E6" s="199" t="s">
        <v>127</v>
      </c>
      <c r="F6" s="206" t="s">
        <v>127</v>
      </c>
      <c r="G6" s="206" t="s">
        <v>127</v>
      </c>
      <c r="H6" s="38" t="s">
        <v>19</v>
      </c>
      <c r="I6" s="38" t="s">
        <v>19</v>
      </c>
      <c r="J6" s="38" t="s">
        <v>19</v>
      </c>
      <c r="K6" s="38" t="s">
        <v>19</v>
      </c>
      <c r="L6" s="38" t="s">
        <v>19</v>
      </c>
      <c r="M6" s="38" t="s">
        <v>19</v>
      </c>
      <c r="N6" s="38" t="s">
        <v>19</v>
      </c>
      <c r="O6" s="38" t="s">
        <v>19</v>
      </c>
      <c r="P6" s="57" t="s">
        <v>19</v>
      </c>
      <c r="Q6"/>
      <c r="R6"/>
      <c r="S6"/>
      <c r="T6"/>
      <c r="U6"/>
      <c r="V6"/>
      <c r="W6"/>
      <c r="X6"/>
      <c r="Y6"/>
      <c r="Z6"/>
      <c r="AA6"/>
      <c r="AB6"/>
      <c r="AC6"/>
      <c r="AD6"/>
    </row>
    <row r="7" spans="1:30" s="2" customFormat="1" ht="25.5" x14ac:dyDescent="0.2">
      <c r="A7" s="123" t="s">
        <v>83</v>
      </c>
      <c r="B7" s="127" t="s">
        <v>113</v>
      </c>
      <c r="C7" s="12">
        <f>'Fund Balance Projection'!C47</f>
        <v>2484174</v>
      </c>
      <c r="D7" s="12">
        <f>'Fund Balance Projection'!D47</f>
        <v>2667311.11</v>
      </c>
      <c r="E7" s="12">
        <f>'Fund Balance Projection'!E47</f>
        <v>215609.33000000002</v>
      </c>
      <c r="F7" s="12">
        <f>'Fund Balance Projection'!F47</f>
        <v>185994.65000000002</v>
      </c>
      <c r="G7" s="12">
        <f>'Fund Balance Projection'!G47</f>
        <v>141941.51999999999</v>
      </c>
      <c r="H7" s="12">
        <f>'Fund Balance Projection'!H47</f>
        <v>244574.28333333333</v>
      </c>
      <c r="I7" s="12">
        <f>'Fund Balance Projection'!I47</f>
        <v>233151.06333333335</v>
      </c>
      <c r="J7" s="12">
        <f>'Fund Balance Projection'!J47</f>
        <v>244574.28333333333</v>
      </c>
      <c r="K7" s="12">
        <f>'Fund Balance Projection'!K47</f>
        <v>244574.28333333333</v>
      </c>
      <c r="L7" s="12">
        <f>'Fund Balance Projection'!L47</f>
        <v>244574.28333333333</v>
      </c>
      <c r="M7" s="12">
        <f>'Fund Balance Projection'!M47</f>
        <v>153188.52333333335</v>
      </c>
      <c r="N7" s="12">
        <f>'Fund Balance Projection'!N47</f>
        <v>176034.96333333332</v>
      </c>
      <c r="O7" s="12">
        <f>'Fund Balance Projection'!O47</f>
        <v>324536.82333333336</v>
      </c>
      <c r="P7" s="12">
        <f>'Fund Balance Projection'!P47</f>
        <v>258557.10333333365</v>
      </c>
      <c r="Q7"/>
      <c r="R7"/>
      <c r="S7"/>
      <c r="T7"/>
      <c r="U7"/>
      <c r="V7"/>
      <c r="W7"/>
      <c r="X7"/>
      <c r="Y7"/>
      <c r="Z7"/>
      <c r="AA7"/>
      <c r="AB7"/>
      <c r="AC7"/>
      <c r="AD7"/>
    </row>
    <row r="8" spans="1:30" s="1" customFormat="1" ht="25.5" x14ac:dyDescent="0.2">
      <c r="A8" s="193" t="s">
        <v>0</v>
      </c>
      <c r="B8" s="129" t="s">
        <v>109</v>
      </c>
      <c r="C8" s="88">
        <f>'Fund Balance Projection'!C59</f>
        <v>2495074</v>
      </c>
      <c r="D8" s="88">
        <f>'Fund Balance Projection'!D59</f>
        <v>2681011.11</v>
      </c>
      <c r="E8" s="88">
        <f>'Fund Balance Projection'!E59</f>
        <v>216404.58000000002</v>
      </c>
      <c r="F8" s="88">
        <f>'Fund Balance Projection'!F59</f>
        <v>187256.10000000003</v>
      </c>
      <c r="G8" s="88">
        <f>'Fund Balance Projection'!G59</f>
        <v>142983.84</v>
      </c>
      <c r="H8" s="88">
        <f>'Fund Balance Projection'!H59</f>
        <v>245752.17</v>
      </c>
      <c r="I8" s="88">
        <f>'Fund Balance Projection'!I59</f>
        <v>234328.95000000004</v>
      </c>
      <c r="J8" s="88">
        <f>'Fund Balance Projection'!J59</f>
        <v>245752.17</v>
      </c>
      <c r="K8" s="88">
        <f>'Fund Balance Projection'!K59</f>
        <v>245752.17</v>
      </c>
      <c r="L8" s="88">
        <f>'Fund Balance Projection'!L59</f>
        <v>245752.17</v>
      </c>
      <c r="M8" s="88">
        <f>'Fund Balance Projection'!M59</f>
        <v>154366.41000000003</v>
      </c>
      <c r="N8" s="88">
        <f>'Fund Balance Projection'!N59</f>
        <v>177212.85</v>
      </c>
      <c r="O8" s="88">
        <f>'Fund Balance Projection'!O59</f>
        <v>325714.71000000002</v>
      </c>
      <c r="P8" s="88">
        <f>'Fund Balance Projection'!P59</f>
        <v>259734.99000000034</v>
      </c>
      <c r="Q8"/>
      <c r="R8"/>
      <c r="S8"/>
      <c r="T8"/>
      <c r="U8"/>
      <c r="V8"/>
      <c r="W8"/>
      <c r="X8"/>
      <c r="Y8"/>
      <c r="Z8"/>
      <c r="AA8"/>
      <c r="AB8"/>
      <c r="AC8"/>
      <c r="AD8"/>
    </row>
    <row r="9" spans="1:30" s="1" customFormat="1" ht="25.5" x14ac:dyDescent="0.2">
      <c r="A9" s="193" t="s">
        <v>104</v>
      </c>
      <c r="B9" s="129" t="s">
        <v>109</v>
      </c>
      <c r="C9" s="88">
        <f>'Fund Balance Projection'!C70</f>
        <v>2549956</v>
      </c>
      <c r="D9" s="88">
        <f>'Fund Balance Projection'!D70</f>
        <v>2960726.04</v>
      </c>
      <c r="E9" s="88">
        <f>'Fund Balance Projection'!E70</f>
        <v>297568.74</v>
      </c>
      <c r="F9" s="88">
        <f>'Fund Balance Projection'!F70</f>
        <v>199355.38</v>
      </c>
      <c r="G9" s="88">
        <f>'Fund Balance Projection'!G70</f>
        <v>243257.38999999998</v>
      </c>
      <c r="H9" s="88">
        <f>'Fund Balance Projection'!H70</f>
        <v>246727.16999999995</v>
      </c>
      <c r="I9" s="88">
        <f>'Fund Balance Projection'!I70</f>
        <v>246727.16999999998</v>
      </c>
      <c r="J9" s="88">
        <f>'Fund Balance Projection'!J70</f>
        <v>246727.16999999998</v>
      </c>
      <c r="K9" s="88">
        <f>'Fund Balance Projection'!K70</f>
        <v>246727.16999999998</v>
      </c>
      <c r="L9" s="88">
        <f>'Fund Balance Projection'!L70</f>
        <v>246727.17000000004</v>
      </c>
      <c r="M9" s="88">
        <f>'Fund Balance Projection'!M70</f>
        <v>246727.17</v>
      </c>
      <c r="N9" s="88">
        <f>'Fund Balance Projection'!N70</f>
        <v>246727.16999999998</v>
      </c>
      <c r="O9" s="88">
        <f>'Fund Balance Projection'!O70</f>
        <v>246727.16999999998</v>
      </c>
      <c r="P9" s="88">
        <f>'Fund Balance Projection'!P70</f>
        <v>246727.17000000004</v>
      </c>
      <c r="Q9"/>
      <c r="R9"/>
      <c r="S9"/>
      <c r="T9"/>
      <c r="U9"/>
      <c r="V9"/>
      <c r="W9"/>
      <c r="X9"/>
      <c r="Y9"/>
      <c r="Z9"/>
      <c r="AA9"/>
      <c r="AB9"/>
      <c r="AC9"/>
      <c r="AD9"/>
    </row>
    <row r="10" spans="1:30" s="1" customFormat="1" ht="26.25" thickBot="1" x14ac:dyDescent="0.25">
      <c r="A10" s="194" t="s">
        <v>108</v>
      </c>
      <c r="B10" s="159" t="s">
        <v>109</v>
      </c>
      <c r="C10" s="160">
        <f>'Fund Balance Projection'!C77</f>
        <v>276118</v>
      </c>
      <c r="D10" s="160">
        <f>'Fund Balance Projection'!D77</f>
        <v>125907.70999999996</v>
      </c>
      <c r="E10" s="160">
        <f>'Fund Balance Projection'!E77</f>
        <v>324458.48</v>
      </c>
      <c r="F10" s="160">
        <f>'Fund Balance Projection'!F77</f>
        <v>312359.2</v>
      </c>
      <c r="G10" s="160">
        <f>'Fund Balance Projection'!G77</f>
        <v>212085.65000000005</v>
      </c>
      <c r="H10" s="160">
        <f>'Fund Balance Projection'!H77</f>
        <v>211110.65000000011</v>
      </c>
      <c r="I10" s="160">
        <f>'Fund Balance Projection'!I77</f>
        <v>198712.43000000017</v>
      </c>
      <c r="J10" s="160">
        <f>'Fund Balance Projection'!J77</f>
        <v>197737.43000000023</v>
      </c>
      <c r="K10" s="160">
        <f>'Fund Balance Projection'!K77</f>
        <v>196762.43000000023</v>
      </c>
      <c r="L10" s="160">
        <f>'Fund Balance Projection'!L77</f>
        <v>195787.43000000017</v>
      </c>
      <c r="M10" s="160">
        <f>'Fund Balance Projection'!M77</f>
        <v>103426.67000000019</v>
      </c>
      <c r="N10" s="160">
        <f>'Fund Balance Projection'!N77</f>
        <v>33912.35000000021</v>
      </c>
      <c r="O10" s="160">
        <f>'Fund Balance Projection'!O77</f>
        <v>112899.89000000025</v>
      </c>
      <c r="P10" s="160">
        <f>'Fund Balance Projection'!P77</f>
        <v>125907.71000000054</v>
      </c>
      <c r="Q10"/>
      <c r="R10"/>
      <c r="S10"/>
      <c r="T10"/>
      <c r="U10"/>
      <c r="V10"/>
      <c r="W10"/>
      <c r="X10"/>
      <c r="Y10"/>
      <c r="Z10"/>
      <c r="AA10"/>
      <c r="AB10"/>
      <c r="AC10"/>
      <c r="AD10"/>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Fund Balance Projection</vt:lpstr>
      <vt:lpstr>Summary</vt:lpstr>
      <vt:lpstr>'Fund Balance Projection'!Print_Area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Gateway Customer</dc:creator>
  <cp:lastModifiedBy>Casandra Doll</cp:lastModifiedBy>
  <cp:lastPrinted>2010-02-05T00:40:01Z</cp:lastPrinted>
  <dcterms:created xsi:type="dcterms:W3CDTF">1998-01-11T12:15:28Z</dcterms:created>
  <dcterms:modified xsi:type="dcterms:W3CDTF">2023-01-06T17:57:37Z</dcterms:modified>
</cp:coreProperties>
</file>